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0920" tabRatio="674" activeTab="1"/>
  </bookViews>
  <sheets>
    <sheet name="Instructions" sheetId="1" r:id="rId1"/>
    <sheet name="DATA" sheetId="2" r:id="rId2"/>
    <sheet name="Annexure -I" sheetId="3" r:id="rId3"/>
    <sheet name="Annexure -II" sheetId="4" r:id="rId4"/>
    <sheet name="Form 16 Page1" sheetId="5" r:id="rId5"/>
    <sheet name="Form 16 Page2" sheetId="6" r:id="rId6"/>
  </sheets>
  <definedNames>
    <definedName name="_xlnm.Print_Area" localSheetId="3">'Annexure -II'!$B$2:$N$65536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<sst xmlns="http://schemas.openxmlformats.org/spreadsheetml/2006/main" count="920" uniqueCount="621">
  <si>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</si>
  <si>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</si>
  <si>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</si>
  <si>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</si>
  <si>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</si>
  <si>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</si>
  <si>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</si>
  <si>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</si>
  <si>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</si>
  <si>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</si>
  <si>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</si>
  <si>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</si>
  <si>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</si>
  <si>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</si>
  <si>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</si>
  <si>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</si>
  <si>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</si>
  <si>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</si>
  <si>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</si>
  <si>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</si>
  <si>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</si>
  <si>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</si>
  <si>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</si>
  <si>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</si>
  <si>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</si>
  <si>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</si>
  <si>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</si>
  <si>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</si>
  <si>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</si>
  <si>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</si>
  <si>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</si>
  <si>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</si>
  <si>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</si>
  <si>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</si>
  <si>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</si>
  <si>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</si>
  <si>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</si>
  <si>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</si>
  <si>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</si>
  <si>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</si>
  <si>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</si>
  <si>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</si>
  <si>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</si>
  <si>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</si>
  <si>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</si>
  <si>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</si>
  <si>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</si>
  <si>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</si>
  <si>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</si>
  <si>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</si>
  <si>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</si>
  <si>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</si>
  <si>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</si>
  <si>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</si>
  <si>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</si>
  <si>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</si>
  <si>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</si>
  <si>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</si>
  <si>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</si>
  <si>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</si>
  <si>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</si>
  <si>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</si>
  <si>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</si>
  <si>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</si>
  <si>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</si>
  <si>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</si>
  <si>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</si>
  <si>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</si>
  <si>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</si>
  <si>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</si>
  <si>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</si>
  <si>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</si>
  <si>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</si>
  <si>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</si>
  <si>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</si>
  <si>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</si>
  <si>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</si>
  <si>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</si>
  <si>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</si>
  <si>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</si>
  <si>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</si>
  <si>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</si>
  <si>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</si>
  <si>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</si>
  <si>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</si>
  <si>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</si>
  <si>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</si>
  <si>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</si>
  <si>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</si>
  <si>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</si>
  <si>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</si>
  <si>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</si>
  <si>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</si>
  <si>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</si>
  <si>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</si>
  <si>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</si>
  <si>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</si>
  <si>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</si>
  <si>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</si>
  <si>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</si>
  <si>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</si>
  <si>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</si>
  <si>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</si>
  <si>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</si>
  <si>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</si>
  <si>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</si>
  <si>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</si>
  <si>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</si>
  <si>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</si>
  <si>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</si>
  <si>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</si>
  <si>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</si>
  <si>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</si>
  <si>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</si>
  <si>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</si>
  <si>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</si>
  <si>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</si>
  <si>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</si>
  <si>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</si>
  <si>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</si>
  <si>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</si>
  <si>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</si>
  <si>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</si>
  <si>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</si>
  <si>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</si>
  <si>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</si>
  <si>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</si>
  <si>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</si>
  <si>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</si>
  <si>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</si>
  <si>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</si>
  <si>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</si>
  <si>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</si>
  <si>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</si>
  <si>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</si>
  <si>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</si>
  <si>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</si>
  <si>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</si>
  <si>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</si>
  <si>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</si>
  <si>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</si>
  <si>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</si>
  <si>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</si>
  <si>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</si>
  <si>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</si>
  <si>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</si>
  <si>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</si>
  <si>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</si>
  <si>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No Change</t>
  </si>
  <si>
    <t>GLI</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</si>
  <si>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</si>
  <si>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</si>
  <si>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</si>
  <si>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</si>
  <si>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</si>
  <si>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</si>
  <si>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</si>
  <si>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</si>
  <si>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</si>
  <si>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</si>
  <si>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</si>
  <si>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</si>
  <si>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</si>
  <si>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</si>
  <si>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</si>
  <si>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</si>
  <si>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</si>
  <si>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</si>
  <si>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</si>
  <si>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</si>
  <si>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</si>
  <si>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</si>
  <si>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</si>
  <si>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t>Total</t>
  </si>
  <si>
    <t>Increment</t>
  </si>
  <si>
    <t xml:space="preserve">Designation : </t>
  </si>
  <si>
    <t>Inc</t>
  </si>
  <si>
    <t>8yrs</t>
  </si>
  <si>
    <t>prom</t>
  </si>
  <si>
    <t>8yrs/prm</t>
  </si>
  <si>
    <t>Addl.</t>
  </si>
  <si>
    <t>LIC (SSS)</t>
  </si>
  <si>
    <t>Gross Total</t>
  </si>
  <si>
    <t>Total Deductions</t>
  </si>
  <si>
    <t>Signature of the Assese</t>
  </si>
  <si>
    <t>Changed CCA</t>
  </si>
  <si>
    <t>CCA</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</si>
  <si>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</si>
  <si>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</si>
  <si>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</si>
  <si>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</si>
  <si>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</si>
  <si>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</si>
  <si>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</si>
  <si>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</si>
  <si>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</si>
  <si>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</si>
  <si>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</si>
  <si>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</si>
  <si>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</si>
  <si>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</si>
  <si>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</si>
  <si>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</si>
  <si>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</si>
  <si>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</si>
  <si>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</si>
  <si>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</si>
  <si>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</si>
  <si>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</si>
  <si>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</si>
  <si>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</si>
  <si>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</si>
  <si>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</si>
  <si>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</si>
  <si>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</si>
  <si>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</si>
  <si>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</si>
  <si>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</si>
  <si>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</si>
  <si>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Name</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</si>
  <si>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</si>
  <si>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</si>
  <si>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</si>
  <si>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</si>
  <si>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</si>
  <si>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</si>
  <si>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</si>
  <si>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</si>
  <si>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</si>
  <si>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</si>
  <si>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</si>
  <si>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</si>
  <si>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</si>
  <si>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</si>
  <si>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</si>
  <si>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</si>
  <si>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</si>
  <si>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</si>
  <si>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</si>
  <si>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</si>
  <si>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</si>
  <si>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</si>
  <si>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</si>
  <si>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TOTAL-----------</t>
  </si>
  <si>
    <t>Gross Total Income  (10-11)</t>
  </si>
  <si>
    <t>LIC Premium Deducted in Salary Savings Scheme</t>
  </si>
  <si>
    <t>i)</t>
  </si>
  <si>
    <t>j)</t>
  </si>
  <si>
    <t>k)</t>
  </si>
  <si>
    <t>Total Savings</t>
  </si>
  <si>
    <t>Tax on Income</t>
  </si>
  <si>
    <t>Nil</t>
  </si>
  <si>
    <t>Education Cess @ 1%</t>
  </si>
  <si>
    <t>Secondary &amp; Higher Education Cess @ 2%</t>
  </si>
  <si>
    <t>Upto</t>
  </si>
  <si>
    <t>Signature of the Drawing Officer</t>
  </si>
  <si>
    <t>Signature of the Employee</t>
  </si>
  <si>
    <t xml:space="preserve">Children Tution Fee </t>
  </si>
  <si>
    <t>Interest on Educational Loan</t>
  </si>
  <si>
    <t>Interest on Housing Loan Advance</t>
  </si>
  <si>
    <t>Medical treatment of Handicapped/Dependent</t>
  </si>
  <si>
    <t>Expenditure on medical treatment</t>
  </si>
  <si>
    <t>Expenditure on medical treatment S.Citizen</t>
  </si>
  <si>
    <t>Donation of Charitable Institution</t>
  </si>
  <si>
    <t>Payments made to Electoral Trusts</t>
  </si>
  <si>
    <t>)</t>
  </si>
  <si>
    <t>Own House</t>
  </si>
  <si>
    <t>Others       (</t>
  </si>
  <si>
    <r>
      <t>Net Taxable Income (12-13)</t>
    </r>
    <r>
      <rPr>
        <b/>
        <sz val="9"/>
        <rFont val="Book Antiqua"/>
        <family val="1"/>
      </rPr>
      <t xml:space="preserve"> rounded to nearest Rs.10/-</t>
    </r>
  </si>
  <si>
    <t xml:space="preserve">(Rent: @ </t>
  </si>
  <si>
    <t>/-PM)</t>
  </si>
  <si>
    <t>Income from House Property U/s 24(vi)</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</si>
  <si>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</si>
  <si>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</si>
  <si>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</si>
  <si>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</si>
  <si>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</si>
  <si>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</si>
  <si>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</si>
  <si>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</si>
  <si>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</si>
  <si>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</si>
  <si>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</si>
  <si>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</si>
  <si>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</si>
  <si>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</si>
  <si>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</si>
  <si>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</si>
  <si>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</si>
  <si>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</si>
  <si>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</si>
  <si>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</si>
  <si>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</si>
  <si>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</si>
  <si>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</si>
  <si>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</si>
  <si>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</si>
  <si>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</si>
  <si>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</si>
  <si>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</si>
  <si>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</si>
  <si>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</si>
  <si>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</si>
  <si>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</si>
  <si>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</si>
  <si>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</si>
  <si>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</si>
  <si>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</si>
  <si>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</si>
  <si>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</si>
  <si>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</si>
  <si>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</si>
  <si>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</si>
  <si>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</si>
  <si>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</si>
  <si>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</si>
  <si>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</si>
  <si>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</si>
  <si>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</si>
  <si>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</si>
  <si>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</si>
  <si>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</si>
  <si>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</si>
  <si>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</si>
  <si>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</si>
  <si>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</si>
  <si>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</si>
  <si>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</si>
  <si>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</si>
  <si>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</si>
  <si>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</si>
  <si>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</si>
  <si>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</si>
  <si>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</si>
  <si>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</si>
  <si>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</si>
  <si>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</si>
  <si>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</si>
  <si>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</si>
  <si>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</si>
  <si>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</si>
  <si>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</si>
  <si>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</si>
  <si>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</si>
  <si>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</si>
  <si>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</si>
  <si>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</si>
  <si>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</si>
  <si>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</si>
  <si>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</si>
  <si>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</si>
  <si>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</si>
  <si>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</si>
  <si>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</si>
  <si>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</si>
  <si>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</si>
  <si>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</si>
  <si>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</si>
  <si>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</si>
  <si>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</si>
  <si>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</si>
  <si>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</si>
  <si>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</si>
  <si>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</si>
  <si>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</si>
  <si>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</si>
  <si>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</si>
  <si>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</si>
  <si>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</si>
  <si>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</si>
  <si>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</si>
  <si>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</si>
  <si>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</si>
  <si>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</si>
  <si>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</si>
  <si>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</si>
  <si>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</si>
  <si>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</si>
  <si>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</si>
  <si>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</si>
  <si>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</si>
  <si>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</si>
  <si>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</si>
  <si>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</si>
  <si>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</si>
  <si>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</si>
  <si>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</si>
  <si>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</si>
  <si>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</si>
  <si>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</si>
  <si>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</si>
  <si>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</si>
  <si>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</si>
  <si>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</si>
  <si>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</si>
  <si>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</si>
  <si>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</si>
  <si>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</si>
  <si>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</si>
  <si>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</si>
  <si>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</si>
  <si>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</si>
  <si>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</si>
  <si>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</si>
  <si>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</si>
  <si>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</si>
  <si>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</si>
  <si>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</si>
  <si>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</si>
  <si>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</si>
  <si>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</si>
  <si>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</si>
  <si>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</si>
  <si>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</si>
  <si>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</si>
  <si>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</si>
  <si>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</si>
  <si>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</si>
  <si>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</si>
  <si>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</si>
  <si>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</si>
  <si>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</si>
  <si>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</si>
  <si>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</si>
  <si>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</si>
  <si>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</si>
  <si>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</si>
  <si>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</si>
  <si>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</si>
  <si>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</si>
  <si>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</si>
  <si>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</si>
  <si>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</si>
  <si>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</si>
  <si>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</si>
  <si>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</si>
  <si>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</si>
  <si>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</si>
  <si>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</si>
  <si>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</si>
  <si>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</si>
  <si>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</si>
  <si>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</si>
  <si>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</si>
  <si>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</si>
  <si>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</si>
  <si>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</si>
  <si>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</si>
  <si>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</si>
  <si>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</si>
  <si>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</si>
  <si>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</si>
  <si>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</si>
  <si>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</si>
  <si>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</si>
  <si>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</si>
  <si>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</si>
  <si>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</si>
  <si>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</si>
  <si>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</si>
  <si>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</si>
  <si>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</si>
  <si>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</si>
  <si>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</si>
  <si>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</si>
  <si>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</si>
  <si>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</si>
  <si>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</si>
  <si>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</si>
  <si>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</si>
  <si>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</si>
  <si>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</si>
  <si>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</si>
  <si>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</si>
  <si>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</si>
  <si>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</si>
  <si>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</si>
  <si>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</si>
  <si>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</si>
  <si>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</si>
  <si>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</si>
  <si>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</si>
  <si>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</si>
  <si>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</si>
  <si>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</si>
  <si>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</si>
  <si>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</si>
  <si>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</si>
  <si>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</si>
  <si>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</si>
  <si>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</si>
  <si>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</si>
  <si>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</si>
  <si>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</si>
  <si>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</si>
  <si>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</si>
  <si>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</si>
  <si>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</si>
  <si>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</si>
  <si>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</si>
  <si>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</si>
  <si>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</si>
  <si>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</si>
  <si>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</si>
  <si>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</si>
  <si>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</si>
  <si>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Programme Developed by : www.prtunzb.webs.com</t>
  </si>
  <si>
    <t>Progrmme developed by www.prtunzb.webs.com (Putta Srinivas Reddy 98490 25860)</t>
  </si>
  <si>
    <r>
      <t>FORM No. 16</t>
    </r>
    <r>
      <rPr>
        <sz val="14"/>
        <rFont val="Book Antiqua"/>
        <family val="1"/>
      </rPr>
      <t xml:space="preserve">                                                                                                                                                                                                                       ( Vide rule 31(1)(a) of Income Tax Rules, 1962 )</t>
    </r>
  </si>
  <si>
    <t>Creditted in P.F if any</t>
  </si>
  <si>
    <t>Other Allows</t>
  </si>
  <si>
    <t>DDO Designation</t>
  </si>
  <si>
    <t>DDO Office</t>
  </si>
  <si>
    <t>Other Arrears Creditted If any</t>
  </si>
  <si>
    <t>14.5</t>
  </si>
  <si>
    <t xml:space="preserve">AAS(6/12/18/24) Drawn Month </t>
  </si>
  <si>
    <t>March,13</t>
  </si>
  <si>
    <t>Rajiv Gandhi Equity Share 80CCG Upto Rs.50000/-</t>
  </si>
  <si>
    <t>Section 80CCG</t>
  </si>
  <si>
    <t>Aggregate of Deductible Amounts U/Chapter VIA (A+B+C)</t>
  </si>
  <si>
    <t>District Associate President</t>
  </si>
  <si>
    <t>(RGES)</t>
  </si>
  <si>
    <t>Gazetted</t>
  </si>
  <si>
    <t>Non Gazetted</t>
  </si>
  <si>
    <t>DDO Particulars</t>
  </si>
  <si>
    <t>April,13</t>
  </si>
  <si>
    <t>May,13</t>
  </si>
  <si>
    <t>June,13</t>
  </si>
  <si>
    <t>July,13</t>
  </si>
  <si>
    <t>Aug,13</t>
  </si>
  <si>
    <t>Sept,13</t>
  </si>
  <si>
    <t>Oct,13</t>
  </si>
  <si>
    <t>Nov,13</t>
  </si>
  <si>
    <t>Dec,13</t>
  </si>
  <si>
    <t>Jan,14</t>
  </si>
  <si>
    <t>Feb,14</t>
  </si>
  <si>
    <t>March,14</t>
  </si>
  <si>
    <t>PRTU</t>
  </si>
  <si>
    <t>CSS Principle drwan</t>
  </si>
  <si>
    <t>CSS Intrest drwan</t>
  </si>
  <si>
    <t>CPS Creditted now</t>
  </si>
  <si>
    <t>CSS Arrears</t>
  </si>
  <si>
    <t>Rs.5,00,001 To 10,00,000.   (@ 20%)</t>
  </si>
  <si>
    <t>above Rs.10,00,001.          (@ 30%)</t>
  </si>
  <si>
    <r>
      <rPr>
        <b/>
        <sz val="10"/>
        <rFont val="Book Antiqua"/>
        <family val="1"/>
      </rPr>
      <t>Tax Rebate u/s 87A</t>
    </r>
    <r>
      <rPr>
        <b/>
        <sz val="11"/>
        <rFont val="Book Antiqua"/>
        <family val="1"/>
      </rPr>
      <t xml:space="preserve"> </t>
    </r>
    <r>
      <rPr>
        <b/>
        <sz val="8"/>
        <rFont val="Book Antiqua"/>
        <family val="1"/>
      </rPr>
      <t>(Taxable income &lt;500000/- max of 2000/-)</t>
    </r>
    <r>
      <rPr>
        <b/>
        <sz val="11"/>
        <rFont val="Book Antiqua"/>
        <family val="1"/>
      </rPr>
      <t xml:space="preserve"> </t>
    </r>
  </si>
  <si>
    <t>Total Tax Payable (15+17+18)if Taxable income &lt;5,00,000/- (15-16+17+18)</t>
  </si>
  <si>
    <t>E.W.F, S.W.F &amp; CM Relief Fund</t>
  </si>
  <si>
    <t>If any Change Mention Mont</t>
  </si>
  <si>
    <t>***PRTU NIZAMABAD***</t>
  </si>
  <si>
    <t>** Annual HRA Recied less than 36,000 No need to Submitt house reciept.                                                             ** Yearly House Rent Paid more than 1,00,000/- Submitt House Reciept</t>
  </si>
  <si>
    <t>** Annual HRA Recied less than 36,000 No need to Submitt House Reciept.                                                             ** Yearly House Rent Paid more than 1,00,000/- Submitt House Reciept.</t>
  </si>
  <si>
    <t>School/Office</t>
  </si>
  <si>
    <t xml:space="preserve">Income Tax 2014-2015 </t>
  </si>
  <si>
    <t>April,14</t>
  </si>
  <si>
    <t>May,14</t>
  </si>
  <si>
    <t>June,14</t>
  </si>
  <si>
    <t>July,14</t>
  </si>
  <si>
    <t>Aug,14</t>
  </si>
  <si>
    <t>Sept,14</t>
  </si>
  <si>
    <t>Oct,14</t>
  </si>
  <si>
    <t>Nov,14</t>
  </si>
  <si>
    <t>Dec,14</t>
  </si>
  <si>
    <t>Jan,15</t>
  </si>
  <si>
    <t>Feb,15</t>
  </si>
  <si>
    <t>Up to Rs. 2,50,000</t>
  </si>
  <si>
    <t>Rs.2,50,001 To 5,00,000.    (@ 10%)</t>
  </si>
  <si>
    <t>Mar,14</t>
  </si>
  <si>
    <t>Apr,14</t>
  </si>
  <si>
    <t>Jun,14</t>
  </si>
  <si>
    <t>Sep,14</t>
  </si>
  <si>
    <t>Jul,14</t>
  </si>
  <si>
    <r>
      <t xml:space="preserve">DA arrears drawned from </t>
    </r>
    <r>
      <rPr>
        <b/>
        <sz val="18"/>
        <color indexed="9"/>
        <rFont val="Verdana"/>
        <family val="2"/>
      </rPr>
      <t xml:space="preserve">CSS </t>
    </r>
  </si>
  <si>
    <t>Basic Pay as on January,14</t>
  </si>
  <si>
    <t>Basic Pay as on February,14</t>
  </si>
  <si>
    <t>15 Days - March,14</t>
  </si>
  <si>
    <t>30 Days - March,14</t>
  </si>
  <si>
    <t>15 Days - April,14</t>
  </si>
  <si>
    <t>30 Days - April,14</t>
  </si>
  <si>
    <t>15 Days - May,14</t>
  </si>
  <si>
    <t>30 Days - May,14</t>
  </si>
  <si>
    <t>15 Days - June,14</t>
  </si>
  <si>
    <t>30 Days - June,14</t>
  </si>
  <si>
    <t>15 Days - July,14</t>
  </si>
  <si>
    <t>30 Days - July,14</t>
  </si>
  <si>
    <t>15 Days - Aug,14</t>
  </si>
  <si>
    <t>30 Days - Aug,14</t>
  </si>
  <si>
    <t>15 Days - Sept,14</t>
  </si>
  <si>
    <t>30 Days - Sept,14</t>
  </si>
  <si>
    <t>15 Days - Oct,14</t>
  </si>
  <si>
    <t>30 Days - Oct,14</t>
  </si>
  <si>
    <t>15 Days - Nov,14</t>
  </si>
  <si>
    <t>30 Days - Nov,14</t>
  </si>
  <si>
    <t>15 Days - Dec,14</t>
  </si>
  <si>
    <t>30 Days - Dec,14</t>
  </si>
  <si>
    <t>15 Days - Jan,15</t>
  </si>
  <si>
    <t>30 Days - Jan,15</t>
  </si>
  <si>
    <t>15 Days - Feb,15</t>
  </si>
  <si>
    <t>30 Days - Feb,15</t>
  </si>
  <si>
    <t>E.L Surrender</t>
  </si>
  <si>
    <t>Incm Tax</t>
  </si>
  <si>
    <t>March,15</t>
  </si>
  <si>
    <t>DA Arrears                                                               (Jan,14 to Apr,14)</t>
  </si>
  <si>
    <t>DA Arrears                                                             (July,14 toSep,14)</t>
  </si>
  <si>
    <t>INCOME TAX CALCULATION FOR THE YEAR 2014-15</t>
  </si>
  <si>
    <t>February,15</t>
  </si>
  <si>
    <t>2015-2016</t>
  </si>
  <si>
    <t xml:space="preserve">Living in </t>
  </si>
  <si>
    <t>Savings U/s 80C (Limited to One lakh Fifty Thousand)</t>
  </si>
  <si>
    <t>Mandal Educational Officer</t>
  </si>
  <si>
    <t>SWF, EWF &amp; CMRF</t>
  </si>
  <si>
    <t>EHF Deduction</t>
  </si>
  <si>
    <t>EHS Deduct</t>
  </si>
  <si>
    <t>Medical Insurance Premium + EHF Deduction</t>
  </si>
  <si>
    <t>Medical Insurance Premium-S.Citizens + EHF Deduction</t>
  </si>
  <si>
    <t>G.Venugopal</t>
  </si>
  <si>
    <t>MPPS, NN Colony, Dhone</t>
  </si>
  <si>
    <t>Dhone</t>
  </si>
  <si>
    <t>AJVPG9142R</t>
  </si>
  <si>
    <t>L705766</t>
  </si>
  <si>
    <t>S Ramachandrudu</t>
  </si>
  <si>
    <t>MEO</t>
  </si>
</sst>
</file>

<file path=xl/styles.xml><?xml version="1.0" encoding="utf-8"?>
<styleSheet xmlns="http://schemas.openxmlformats.org/spreadsheetml/2006/main">
  <numFmts count="2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 numFmtId="182" formatCode="0.0"/>
  </numFmts>
  <fonts count="151">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2"/>
      <name val="Book Antiqua"/>
      <family val="1"/>
    </font>
    <font>
      <b/>
      <sz val="13"/>
      <name val="Book Antiqua"/>
      <family val="1"/>
    </font>
    <font>
      <sz val="14"/>
      <name val="Book Antiqua"/>
      <family val="1"/>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22"/>
      <color indexed="9"/>
      <name val="Verdana"/>
      <family val="2"/>
    </font>
    <font>
      <b/>
      <sz val="10"/>
      <color indexed="10"/>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b/>
      <sz val="14"/>
      <name val="Book Antiqua"/>
      <family val="1"/>
    </font>
    <font>
      <sz val="11"/>
      <color indexed="10"/>
      <name val="Calibri"/>
      <family val="2"/>
    </font>
    <font>
      <b/>
      <sz val="10"/>
      <color indexed="10"/>
      <name val="Times New Roman"/>
      <family val="1"/>
    </font>
    <font>
      <b/>
      <sz val="13.5"/>
      <color indexed="8"/>
      <name val="Verdana"/>
      <family val="2"/>
    </font>
    <font>
      <b/>
      <sz val="14"/>
      <color indexed="8"/>
      <name val="Lucida Handwriting"/>
      <family val="4"/>
    </font>
    <font>
      <b/>
      <sz val="14"/>
      <color indexed="8"/>
      <name val="Lucida Sans"/>
      <family val="2"/>
    </font>
    <font>
      <sz val="10"/>
      <color indexed="9"/>
      <name val="Book Antiqua"/>
      <family val="1"/>
    </font>
    <font>
      <b/>
      <sz val="10"/>
      <color indexed="9"/>
      <name val="Book Antiqua"/>
      <family val="1"/>
    </font>
    <font>
      <b/>
      <sz val="11"/>
      <color indexed="9"/>
      <name val="Book Antiqua"/>
      <family val="1"/>
    </font>
    <font>
      <sz val="11"/>
      <color indexed="9"/>
      <name val="Book Antiqua"/>
      <family val="1"/>
    </font>
    <font>
      <sz val="10"/>
      <color indexed="9"/>
      <name val="Times New Roman"/>
      <family val="1"/>
    </font>
    <font>
      <b/>
      <sz val="10"/>
      <color indexed="9"/>
      <name val="Verdana"/>
      <family val="2"/>
    </font>
    <font>
      <b/>
      <sz val="14"/>
      <color indexed="10"/>
      <name val="Times New Roman"/>
      <family val="1"/>
    </font>
    <font>
      <b/>
      <sz val="12"/>
      <color indexed="8"/>
      <name val="Verdana"/>
      <family val="2"/>
    </font>
    <font>
      <b/>
      <sz val="10"/>
      <color indexed="10"/>
      <name val="Arial"/>
      <family val="2"/>
    </font>
    <font>
      <b/>
      <sz val="11"/>
      <color indexed="10"/>
      <name val="Times New Roman"/>
      <family val="1"/>
    </font>
    <font>
      <sz val="10"/>
      <color indexed="10"/>
      <name val="Times New Roman"/>
      <family val="1"/>
    </font>
    <font>
      <b/>
      <sz val="8"/>
      <name val="Book Antiqua"/>
      <family val="1"/>
    </font>
    <font>
      <b/>
      <sz val="20"/>
      <color indexed="10"/>
      <name val="Verdana"/>
      <family val="2"/>
    </font>
    <font>
      <b/>
      <sz val="14"/>
      <color indexed="10"/>
      <name val="Verdana"/>
      <family val="2"/>
    </font>
    <font>
      <b/>
      <sz val="18"/>
      <color indexed="9"/>
      <name val="Verdana"/>
      <family val="2"/>
    </font>
    <font>
      <b/>
      <sz val="12"/>
      <name val="Script MT Bold"/>
      <family val="4"/>
    </font>
    <font>
      <sz val="16"/>
      <name val="Book Antiqua"/>
      <family val="1"/>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10"/>
      <name val="Arial"/>
      <family val="2"/>
    </font>
    <font>
      <sz val="10"/>
      <color indexed="10"/>
      <name val="Book Antiqua"/>
      <family val="1"/>
    </font>
    <font>
      <b/>
      <sz val="10"/>
      <color indexed="10"/>
      <name val="Tahoma"/>
      <family val="2"/>
    </font>
    <font>
      <sz val="9"/>
      <color indexed="10"/>
      <name val="Verdana"/>
      <family val="2"/>
    </font>
    <font>
      <b/>
      <sz val="8"/>
      <color indexed="10"/>
      <name val="Verdana"/>
      <family val="2"/>
    </font>
    <font>
      <b/>
      <sz val="9"/>
      <color indexed="10"/>
      <name val="Verdana"/>
      <family val="2"/>
    </font>
    <font>
      <sz val="9"/>
      <color indexed="10"/>
      <name val="Book Antiqua"/>
      <family val="1"/>
    </font>
    <font>
      <b/>
      <sz val="12"/>
      <color indexed="10"/>
      <name val="Times New Roman"/>
      <family val="1"/>
    </font>
    <font>
      <b/>
      <sz val="10"/>
      <color indexed="10"/>
      <name val="Book Antiqua"/>
      <family val="1"/>
    </font>
    <font>
      <b/>
      <sz val="9"/>
      <color indexed="10"/>
      <name val="Book Antiqua"/>
      <family val="1"/>
    </font>
    <font>
      <sz val="11"/>
      <color indexed="10"/>
      <name val="Book Antiqua"/>
      <family val="1"/>
    </font>
    <font>
      <b/>
      <sz val="11"/>
      <color indexed="10"/>
      <name val="Book Antiqua"/>
      <family val="1"/>
    </font>
    <font>
      <b/>
      <sz val="22"/>
      <color indexed="27"/>
      <name val="Wide Latin"/>
      <family val="1"/>
    </font>
    <font>
      <b/>
      <sz val="8"/>
      <color indexed="10"/>
      <name val="Times New Roman"/>
      <family val="1"/>
    </font>
    <font>
      <b/>
      <sz val="12"/>
      <color indexed="9"/>
      <name val="Verdana"/>
      <family val="2"/>
    </font>
    <font>
      <b/>
      <sz val="16"/>
      <color indexed="22"/>
      <name val="Verdana"/>
      <family val="2"/>
    </font>
    <font>
      <b/>
      <sz val="20"/>
      <color indexed="22"/>
      <name val="Verdana"/>
      <family val="2"/>
    </font>
    <font>
      <b/>
      <sz val="12"/>
      <color indexed="10"/>
      <name val="Verdana"/>
      <family val="2"/>
    </font>
    <font>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rgb="FFFF0000"/>
      <name val="Verdana"/>
      <family val="2"/>
    </font>
    <font>
      <b/>
      <sz val="10"/>
      <color rgb="FFFF0000"/>
      <name val="Times New Roman"/>
      <family val="1"/>
    </font>
    <font>
      <sz val="10"/>
      <color rgb="FFFF0000"/>
      <name val="Times New Roman"/>
      <family val="1"/>
    </font>
    <font>
      <sz val="10"/>
      <color rgb="FFFF0000"/>
      <name val="Arial"/>
      <family val="2"/>
    </font>
    <font>
      <b/>
      <sz val="10"/>
      <color rgb="FFFF0000"/>
      <name val="Arial"/>
      <family val="2"/>
    </font>
    <font>
      <sz val="10"/>
      <color rgb="FFFF0000"/>
      <name val="Book Antiqua"/>
      <family val="1"/>
    </font>
    <font>
      <b/>
      <sz val="10"/>
      <color rgb="FFFF0000"/>
      <name val="Tahoma"/>
      <family val="2"/>
    </font>
    <font>
      <sz val="9"/>
      <color rgb="FFFF0000"/>
      <name val="Verdana"/>
      <family val="2"/>
    </font>
    <font>
      <b/>
      <sz val="8"/>
      <color rgb="FFFF0000"/>
      <name val="Verdana"/>
      <family val="2"/>
    </font>
    <font>
      <b/>
      <sz val="9"/>
      <color rgb="FFFF0000"/>
      <name val="Verdana"/>
      <family val="2"/>
    </font>
    <font>
      <sz val="9"/>
      <color rgb="FFFF0000"/>
      <name val="Book Antiqua"/>
      <family val="1"/>
    </font>
    <font>
      <b/>
      <sz val="12"/>
      <color rgb="FFFF0000"/>
      <name val="Times New Roman"/>
      <family val="1"/>
    </font>
    <font>
      <b/>
      <sz val="10"/>
      <color rgb="FFFF0000"/>
      <name val="Book Antiqua"/>
      <family val="1"/>
    </font>
    <font>
      <b/>
      <sz val="9"/>
      <color rgb="FFFF0000"/>
      <name val="Book Antiqua"/>
      <family val="1"/>
    </font>
    <font>
      <sz val="11"/>
      <color rgb="FFFF0000"/>
      <name val="Book Antiqua"/>
      <family val="1"/>
    </font>
    <font>
      <b/>
      <sz val="11"/>
      <color rgb="FFFF0000"/>
      <name val="Book Antiqua"/>
      <family val="1"/>
    </font>
    <font>
      <b/>
      <sz val="10"/>
      <color theme="1"/>
      <name val="Verdana"/>
      <family val="2"/>
    </font>
    <font>
      <b/>
      <sz val="22"/>
      <color rgb="FFCCECFF"/>
      <name val="Wide Latin"/>
      <family val="1"/>
    </font>
    <font>
      <b/>
      <sz val="8"/>
      <color rgb="FFFF0000"/>
      <name val="Times New Roman"/>
      <family val="1"/>
    </font>
    <font>
      <sz val="10"/>
      <color theme="1"/>
      <name val="Calibri"/>
      <family val="2"/>
    </font>
    <font>
      <b/>
      <sz val="12"/>
      <color theme="0"/>
      <name val="Verdana"/>
      <family val="2"/>
    </font>
    <font>
      <b/>
      <sz val="12"/>
      <color rgb="FFFF0000"/>
      <name val="Verdana"/>
      <family val="2"/>
    </font>
    <font>
      <b/>
      <sz val="20"/>
      <color theme="0" tint="-0.04997999966144562"/>
      <name val="Verdana"/>
      <family val="2"/>
    </font>
    <font>
      <b/>
      <sz val="16"/>
      <color theme="0" tint="-0.1499900072813034"/>
      <name val="Verdana"/>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indexed="11"/>
        <bgColor indexed="64"/>
      </patternFill>
    </fill>
    <fill>
      <patternFill patternType="solid">
        <fgColor indexed="44"/>
        <bgColor indexed="64"/>
      </patternFill>
    </fill>
    <fill>
      <patternFill patternType="solid">
        <fgColor rgb="FF0070C0"/>
        <bgColor indexed="64"/>
      </patternFill>
    </fill>
    <fill>
      <patternFill patternType="solid">
        <fgColor indexed="10"/>
        <bgColor indexed="64"/>
      </patternFill>
    </fill>
    <fill>
      <patternFill patternType="solid">
        <fgColor rgb="FF002060"/>
        <bgColor indexed="64"/>
      </patternFill>
    </fill>
    <fill>
      <patternFill patternType="solid">
        <fgColor indexed="14"/>
        <bgColor indexed="64"/>
      </patternFill>
    </fill>
    <fill>
      <patternFill patternType="solid">
        <fgColor theme="7" tint="-0.4999699890613556"/>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hair"/>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color indexed="63"/>
      </top>
      <bottom style="thin"/>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hair"/>
    </border>
    <border>
      <left style="double"/>
      <right>
        <color indexed="63"/>
      </right>
      <top style="thin"/>
      <bottom>
        <color indexed="63"/>
      </bottom>
    </border>
    <border>
      <left>
        <color indexed="63"/>
      </left>
      <right style="double"/>
      <top style="medium"/>
      <bottom style="medium"/>
    </border>
    <border>
      <left style="double"/>
      <right>
        <color indexed="63"/>
      </right>
      <top>
        <color indexed="63"/>
      </top>
      <bottom style="thin"/>
    </border>
    <border>
      <left style="double"/>
      <right>
        <color indexed="63"/>
      </right>
      <top style="medium"/>
      <bottom style="medium"/>
    </border>
    <border>
      <left style="double"/>
      <right style="thin"/>
      <top style="thin"/>
      <bottom style="thin"/>
    </border>
    <border>
      <left style="double"/>
      <right>
        <color indexed="63"/>
      </right>
      <top style="double"/>
      <bottom>
        <color indexed="63"/>
      </bottom>
    </border>
    <border>
      <left style="double"/>
      <right>
        <color indexed="63"/>
      </right>
      <top style="thin"/>
      <bottom style="hair"/>
    </border>
  </borders>
  <cellStyleXfs count="56">
    <xf numFmtId="0" fontId="0" fillId="0" borderId="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0" fontId="116"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1" fillId="32" borderId="7" applyNumberFormat="0" applyFont="0" applyAlignment="0" applyProtection="0"/>
    <xf numFmtId="0" fontId="124" fillId="27" borderId="8" applyNumberFormat="0" applyAlignment="0" applyProtection="0"/>
    <xf numFmtId="0" fontId="125" fillId="0" borderId="0" applyNumberFormat="0" applyFill="0" applyBorder="0" applyAlignment="0" applyProtection="0"/>
    <xf numFmtId="0" fontId="126" fillId="0" borderId="9" applyNumberFormat="0" applyFill="0" applyAlignment="0" applyProtection="0"/>
    <xf numFmtId="0" fontId="54" fillId="0" borderId="0" applyFont="0" applyBorder="0" applyAlignment="0" applyProtection="0"/>
  </cellStyleXfs>
  <cellXfs count="820">
    <xf numFmtId="0" fontId="0" fillId="0" borderId="0" xfId="0" applyFont="1"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horizontal="left" vertical="center" wrapText="1"/>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0" xfId="0" applyFont="1" applyFill="1" applyBorder="1" applyAlignment="1">
      <alignment horizontal="left" vertical="center" indent="1"/>
    </xf>
    <xf numFmtId="0" fontId="3" fillId="33" borderId="18" xfId="0" applyFont="1" applyFill="1" applyBorder="1" applyAlignment="1">
      <alignment vertical="center"/>
    </xf>
    <xf numFmtId="0" fontId="3" fillId="33" borderId="19" xfId="0" applyFont="1" applyFill="1" applyBorder="1" applyAlignment="1">
      <alignment horizontal="left" vertical="center" wrapText="1"/>
    </xf>
    <xf numFmtId="0" fontId="0" fillId="33" borderId="0" xfId="0" applyFill="1" applyAlignment="1">
      <alignment horizontal="left" vertical="center"/>
    </xf>
    <xf numFmtId="0" fontId="40" fillId="33" borderId="19" xfId="0" applyFont="1" applyFill="1" applyBorder="1" applyAlignment="1">
      <alignment horizontal="left" vertical="center" wrapText="1"/>
    </xf>
    <xf numFmtId="0" fontId="40" fillId="33" borderId="20" xfId="0" applyFont="1" applyFill="1" applyBorder="1" applyAlignment="1">
      <alignment horizontal="left" vertical="center" wrapText="1"/>
    </xf>
    <xf numFmtId="0" fontId="40" fillId="33" borderId="21" xfId="0" applyFont="1" applyFill="1" applyBorder="1" applyAlignment="1">
      <alignment horizontal="left" vertical="center" wrapText="1"/>
    </xf>
    <xf numFmtId="0" fontId="40" fillId="33" borderId="11" xfId="0" applyFont="1" applyFill="1" applyBorder="1" applyAlignment="1">
      <alignment horizontal="left" vertical="center" wrapText="1"/>
    </xf>
    <xf numFmtId="0" fontId="40" fillId="33" borderId="22" xfId="0" applyFont="1" applyFill="1" applyBorder="1" applyAlignment="1">
      <alignment horizontal="left" vertical="center" wrapText="1"/>
    </xf>
    <xf numFmtId="0" fontId="40" fillId="33" borderId="23" xfId="0" applyFont="1" applyFill="1" applyBorder="1" applyAlignment="1">
      <alignment horizontal="left" vertical="center" wrapText="1"/>
    </xf>
    <xf numFmtId="0" fontId="40" fillId="33" borderId="0" xfId="0" applyFont="1" applyFill="1" applyBorder="1" applyAlignment="1">
      <alignment horizontal="left" vertical="center" wrapText="1"/>
    </xf>
    <xf numFmtId="0" fontId="40" fillId="33" borderId="24" xfId="0" applyFont="1" applyFill="1" applyBorder="1" applyAlignment="1">
      <alignment horizontal="left" vertical="center" wrapText="1"/>
    </xf>
    <xf numFmtId="0" fontId="41" fillId="33" borderId="0" xfId="0" applyFont="1" applyFill="1" applyAlignment="1">
      <alignment horizontal="left" vertical="center"/>
    </xf>
    <xf numFmtId="0" fontId="42" fillId="33" borderId="0" xfId="0" applyFont="1" applyFill="1" applyAlignment="1">
      <alignment horizontal="left" vertical="center" wrapText="1"/>
    </xf>
    <xf numFmtId="0" fontId="0" fillId="33" borderId="0" xfId="0" applyFill="1" applyAlignment="1">
      <alignment horizontal="left" vertical="center" wrapText="1"/>
    </xf>
    <xf numFmtId="0" fontId="43" fillId="33" borderId="19" xfId="0" applyFont="1" applyFill="1" applyBorder="1" applyAlignment="1">
      <alignment horizontal="left" vertical="center" wrapText="1"/>
    </xf>
    <xf numFmtId="0" fontId="44" fillId="33" borderId="25" xfId="0" applyFont="1" applyFill="1" applyBorder="1" applyAlignment="1">
      <alignment horizontal="left" vertical="center" wrapText="1"/>
    </xf>
    <xf numFmtId="0" fontId="44" fillId="33" borderId="21" xfId="0" applyFont="1" applyFill="1" applyBorder="1" applyAlignment="1">
      <alignment horizontal="left" vertical="center" wrapText="1"/>
    </xf>
    <xf numFmtId="0" fontId="44" fillId="33" borderId="26" xfId="0" applyFont="1" applyFill="1" applyBorder="1" applyAlignment="1">
      <alignment horizontal="left" vertical="center" wrapText="1"/>
    </xf>
    <xf numFmtId="0" fontId="45" fillId="33" borderId="0" xfId="0" applyFont="1" applyFill="1" applyAlignment="1">
      <alignment horizontal="left" vertical="center"/>
    </xf>
    <xf numFmtId="0" fontId="0" fillId="34" borderId="0" xfId="0" applyFill="1" applyAlignment="1">
      <alignment horizontal="left" vertical="center"/>
    </xf>
    <xf numFmtId="0" fontId="46" fillId="34" borderId="0" xfId="0" applyFont="1" applyFill="1" applyAlignment="1">
      <alignment horizontal="left" vertical="center"/>
    </xf>
    <xf numFmtId="0" fontId="3" fillId="33" borderId="15" xfId="0" applyFont="1" applyFill="1" applyBorder="1" applyAlignment="1">
      <alignment vertical="center"/>
    </xf>
    <xf numFmtId="0" fontId="3" fillId="33" borderId="27" xfId="0" applyFont="1" applyFill="1" applyBorder="1" applyAlignment="1">
      <alignment vertical="center"/>
    </xf>
    <xf numFmtId="0" fontId="3" fillId="35" borderId="0" xfId="0" applyFont="1" applyFill="1" applyAlignment="1">
      <alignment vertical="center"/>
    </xf>
    <xf numFmtId="0" fontId="4" fillId="35" borderId="0" xfId="0" applyFont="1" applyFill="1" applyAlignment="1">
      <alignment horizontal="left" vertical="center" wrapText="1"/>
    </xf>
    <xf numFmtId="0" fontId="44" fillId="33" borderId="19" xfId="0" applyFont="1" applyFill="1" applyBorder="1" applyAlignment="1">
      <alignment horizontal="left" vertical="center" wrapText="1"/>
    </xf>
    <xf numFmtId="0" fontId="40" fillId="33" borderId="28" xfId="0" applyFont="1" applyFill="1" applyBorder="1" applyAlignment="1">
      <alignment horizontal="left" vertical="center" wrapText="1"/>
    </xf>
    <xf numFmtId="0" fontId="40" fillId="33" borderId="18"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3" fillId="0" borderId="0" xfId="0" applyFont="1" applyAlignment="1">
      <alignment vertical="center"/>
    </xf>
    <xf numFmtId="0" fontId="13" fillId="0" borderId="19" xfId="0" applyFont="1" applyBorder="1" applyAlignment="1">
      <alignment horizontal="center" vertical="center"/>
    </xf>
    <xf numFmtId="17" fontId="13" fillId="0" borderId="19" xfId="0" applyNumberFormat="1" applyFont="1" applyBorder="1" applyAlignment="1">
      <alignment horizontal="center" vertical="center"/>
    </xf>
    <xf numFmtId="0" fontId="13" fillId="0" borderId="0" xfId="0" applyFont="1" applyAlignment="1">
      <alignment horizontal="center" vertical="center"/>
    </xf>
    <xf numFmtId="0" fontId="3" fillId="33" borderId="23" xfId="0" applyFont="1" applyFill="1" applyBorder="1" applyAlignment="1">
      <alignment horizontal="left" vertical="center" indent="1"/>
    </xf>
    <xf numFmtId="0" fontId="18" fillId="36" borderId="19" xfId="0" applyFont="1" applyFill="1" applyBorder="1" applyAlignment="1">
      <alignment horizontal="left" vertical="center"/>
    </xf>
    <xf numFmtId="3" fontId="18" fillId="36" borderId="19" xfId="0" applyNumberFormat="1" applyFont="1" applyFill="1" applyBorder="1" applyAlignment="1">
      <alignment horizontal="left" vertical="center"/>
    </xf>
    <xf numFmtId="0" fontId="16" fillId="37" borderId="25" xfId="0" applyFont="1" applyFill="1" applyBorder="1" applyAlignment="1">
      <alignment horizontal="left" vertical="center"/>
    </xf>
    <xf numFmtId="0" fontId="17" fillId="37" borderId="29" xfId="0" applyFont="1" applyFill="1" applyBorder="1" applyAlignment="1">
      <alignment horizontal="left" vertical="center"/>
    </xf>
    <xf numFmtId="0" fontId="17" fillId="37" borderId="20" xfId="0" applyFont="1" applyFill="1" applyBorder="1" applyAlignment="1">
      <alignment horizontal="left" vertical="center"/>
    </xf>
    <xf numFmtId="0" fontId="19" fillId="36" borderId="19" xfId="0" applyFont="1" applyFill="1" applyBorder="1" applyAlignment="1">
      <alignment horizontal="left" vertical="center"/>
    </xf>
    <xf numFmtId="0" fontId="3" fillId="33" borderId="11" xfId="0" applyFont="1" applyFill="1" applyBorder="1" applyAlignment="1">
      <alignment horizontal="right" vertical="center" indent="1"/>
    </xf>
    <xf numFmtId="0" fontId="14" fillId="0" borderId="0" xfId="0" applyFont="1" applyAlignment="1">
      <alignment/>
    </xf>
    <xf numFmtId="0" fontId="24"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28" fillId="0" borderId="0" xfId="0" applyFont="1" applyBorder="1" applyAlignment="1">
      <alignment horizontal="center"/>
    </xf>
    <xf numFmtId="0" fontId="24" fillId="0" borderId="0" xfId="0" applyFont="1" applyBorder="1" applyAlignment="1">
      <alignment horizontal="center"/>
    </xf>
    <xf numFmtId="3" fontId="28" fillId="0" borderId="0" xfId="0" applyNumberFormat="1" applyFont="1" applyBorder="1" applyAlignment="1">
      <alignment/>
    </xf>
    <xf numFmtId="1" fontId="14" fillId="0" borderId="0" xfId="0" applyNumberFormat="1" applyFont="1" applyAlignment="1">
      <alignment/>
    </xf>
    <xf numFmtId="0" fontId="28" fillId="0" borderId="0" xfId="0" applyFont="1" applyBorder="1" applyAlignment="1">
      <alignment/>
    </xf>
    <xf numFmtId="0" fontId="14" fillId="0" borderId="0" xfId="0" applyFont="1" applyBorder="1" applyAlignment="1">
      <alignment horizontal="left"/>
    </xf>
    <xf numFmtId="0" fontId="28" fillId="0" borderId="0" xfId="0" applyFont="1" applyBorder="1" applyAlignment="1">
      <alignment horizontal="left"/>
    </xf>
    <xf numFmtId="0" fontId="26" fillId="0" borderId="0" xfId="0" applyFont="1" applyBorder="1" applyAlignment="1">
      <alignment/>
    </xf>
    <xf numFmtId="0" fontId="25" fillId="0" borderId="0" xfId="0" applyFont="1" applyBorder="1" applyAlignment="1">
      <alignment horizontal="left"/>
    </xf>
    <xf numFmtId="3" fontId="14" fillId="0" borderId="0" xfId="0" applyNumberFormat="1" applyFont="1" applyAlignment="1">
      <alignment/>
    </xf>
    <xf numFmtId="3" fontId="24" fillId="0" borderId="0" xfId="0" applyNumberFormat="1" applyFont="1" applyBorder="1" applyAlignment="1">
      <alignment/>
    </xf>
    <xf numFmtId="0" fontId="28" fillId="0" borderId="30" xfId="0" applyFont="1" applyBorder="1" applyAlignment="1">
      <alignment/>
    </xf>
    <xf numFmtId="0" fontId="24" fillId="0" borderId="0" xfId="0" applyFont="1" applyBorder="1" applyAlignment="1">
      <alignment/>
    </xf>
    <xf numFmtId="3" fontId="14" fillId="0" borderId="0" xfId="0" applyNumberFormat="1" applyFont="1" applyBorder="1" applyAlignment="1">
      <alignment/>
    </xf>
    <xf numFmtId="0" fontId="27" fillId="0" borderId="0" xfId="0" applyFont="1" applyBorder="1" applyAlignment="1">
      <alignment/>
    </xf>
    <xf numFmtId="0" fontId="3" fillId="35" borderId="31" xfId="0" applyFont="1" applyFill="1" applyBorder="1" applyAlignment="1">
      <alignment vertical="center"/>
    </xf>
    <xf numFmtId="0" fontId="3" fillId="35" borderId="32" xfId="0" applyFont="1" applyFill="1" applyBorder="1" applyAlignment="1">
      <alignment vertical="center"/>
    </xf>
    <xf numFmtId="0" fontId="3" fillId="35" borderId="33" xfId="0" applyFont="1" applyFill="1" applyBorder="1" applyAlignment="1">
      <alignment vertical="center"/>
    </xf>
    <xf numFmtId="0" fontId="47" fillId="38" borderId="34" xfId="0" applyFont="1" applyFill="1" applyBorder="1" applyAlignment="1">
      <alignment horizontal="center" vertical="center"/>
    </xf>
    <xf numFmtId="0" fontId="47" fillId="38" borderId="35" xfId="0" applyFont="1" applyFill="1" applyBorder="1" applyAlignment="1">
      <alignment horizontal="center" vertical="center"/>
    </xf>
    <xf numFmtId="0" fontId="13" fillId="0" borderId="36" xfId="0" applyFont="1" applyBorder="1" applyAlignment="1">
      <alignment vertical="center"/>
    </xf>
    <xf numFmtId="0" fontId="13" fillId="0" borderId="36"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horizontal="left"/>
    </xf>
    <xf numFmtId="0" fontId="31" fillId="0" borderId="0" xfId="0" applyFont="1" applyBorder="1" applyAlignment="1">
      <alignment horizontal="center"/>
    </xf>
    <xf numFmtId="0" fontId="29" fillId="0" borderId="0" xfId="0" applyFont="1" applyBorder="1" applyAlignment="1">
      <alignment horizontal="left" vertical="center"/>
    </xf>
    <xf numFmtId="0" fontId="29" fillId="0" borderId="0" xfId="0" applyFont="1" applyAlignment="1">
      <alignment horizontal="left" vertical="center"/>
    </xf>
    <xf numFmtId="0" fontId="26" fillId="0" borderId="0" xfId="0" applyFont="1" applyBorder="1" applyAlignment="1">
      <alignment horizontal="center"/>
    </xf>
    <xf numFmtId="0" fontId="24" fillId="0" borderId="0" xfId="0" applyFont="1" applyBorder="1" applyAlignment="1">
      <alignment vertical="center"/>
    </xf>
    <xf numFmtId="1" fontId="27" fillId="0" borderId="0" xfId="0" applyNumberFormat="1" applyFont="1" applyBorder="1" applyAlignment="1">
      <alignment/>
    </xf>
    <xf numFmtId="3" fontId="14" fillId="0" borderId="0" xfId="0" applyNumberFormat="1" applyFont="1" applyBorder="1" applyAlignment="1">
      <alignment horizontal="right" vertical="center"/>
    </xf>
    <xf numFmtId="0" fontId="32" fillId="0" borderId="0" xfId="0" applyFont="1" applyBorder="1" applyAlignment="1">
      <alignment horizontal="center"/>
    </xf>
    <xf numFmtId="0" fontId="29" fillId="0" borderId="0" xfId="0" applyFont="1" applyBorder="1" applyAlignment="1">
      <alignment horizontal="center"/>
    </xf>
    <xf numFmtId="1" fontId="26" fillId="0" borderId="0" xfId="0" applyNumberFormat="1" applyFont="1" applyBorder="1" applyAlignment="1">
      <alignment/>
    </xf>
    <xf numFmtId="0" fontId="26" fillId="0" borderId="0" xfId="0" applyFont="1" applyBorder="1" applyAlignment="1">
      <alignment horizontal="right"/>
    </xf>
    <xf numFmtId="0" fontId="26" fillId="0" borderId="0" xfId="0" applyFont="1" applyAlignment="1">
      <alignment/>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protection hidden="1"/>
    </xf>
    <xf numFmtId="0" fontId="31"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4" xfId="0" applyFont="1" applyFill="1" applyBorder="1" applyAlignment="1">
      <alignment vertical="center"/>
    </xf>
    <xf numFmtId="0" fontId="13" fillId="0" borderId="19" xfId="0" applyFont="1" applyBorder="1" applyAlignment="1" applyProtection="1">
      <alignment horizontal="center" vertical="center"/>
      <protection hidden="1"/>
    </xf>
    <xf numFmtId="1" fontId="14" fillId="0" borderId="19" xfId="0" applyNumberFormat="1" applyFont="1" applyBorder="1" applyAlignment="1" applyProtection="1">
      <alignment horizontal="center" vertical="center" wrapText="1"/>
      <protection hidden="1"/>
    </xf>
    <xf numFmtId="0" fontId="14" fillId="0" borderId="19" xfId="0" applyFont="1" applyBorder="1" applyAlignment="1" applyProtection="1">
      <alignment horizontal="center" vertical="center"/>
      <protection hidden="1"/>
    </xf>
    <xf numFmtId="0" fontId="13" fillId="0" borderId="19" xfId="0" applyFont="1" applyBorder="1" applyAlignment="1" applyProtection="1">
      <alignment horizontal="center" vertical="center" wrapText="1"/>
      <protection hidden="1"/>
    </xf>
    <xf numFmtId="1" fontId="13" fillId="0" borderId="19" xfId="0" applyNumberFormat="1" applyFont="1" applyBorder="1" applyAlignment="1" applyProtection="1">
      <alignment horizontal="center" vertical="center"/>
      <protection hidden="1"/>
    </xf>
    <xf numFmtId="0" fontId="15" fillId="0" borderId="19" xfId="0" applyFont="1" applyBorder="1" applyAlignment="1" applyProtection="1">
      <alignment horizontal="center" vertical="center" wrapText="1"/>
      <protection hidden="1"/>
    </xf>
    <xf numFmtId="0" fontId="27" fillId="0" borderId="0" xfId="0" applyFont="1" applyBorder="1" applyAlignment="1" applyProtection="1">
      <alignment horizontal="left"/>
      <protection hidden="1"/>
    </xf>
    <xf numFmtId="0" fontId="24" fillId="0" borderId="37" xfId="0" applyFont="1" applyBorder="1" applyAlignment="1" applyProtection="1">
      <alignment horizontal="center"/>
      <protection hidden="1"/>
    </xf>
    <xf numFmtId="0" fontId="24" fillId="0" borderId="38" xfId="0" applyFont="1" applyBorder="1" applyAlignment="1" applyProtection="1">
      <alignment horizontal="center"/>
      <protection hidden="1"/>
    </xf>
    <xf numFmtId="41" fontId="24" fillId="0" borderId="39" xfId="0" applyNumberFormat="1" applyFont="1" applyBorder="1" applyAlignment="1" applyProtection="1">
      <alignment/>
      <protection hidden="1"/>
    </xf>
    <xf numFmtId="0" fontId="24" fillId="0" borderId="26" xfId="0" applyFont="1" applyBorder="1" applyAlignment="1" applyProtection="1">
      <alignment horizontal="center"/>
      <protection hidden="1"/>
    </xf>
    <xf numFmtId="0" fontId="24" fillId="0" borderId="0" xfId="0" applyFont="1" applyBorder="1" applyAlignment="1" applyProtection="1">
      <alignment horizontal="center"/>
      <protection hidden="1"/>
    </xf>
    <xf numFmtId="41" fontId="24" fillId="0" borderId="16" xfId="0" applyNumberFormat="1" applyFont="1" applyBorder="1" applyAlignment="1" applyProtection="1">
      <alignment/>
      <protection hidden="1"/>
    </xf>
    <xf numFmtId="0" fontId="14" fillId="0" borderId="26" xfId="0" applyFont="1" applyBorder="1" applyAlignment="1" applyProtection="1">
      <alignment horizontal="center"/>
      <protection hidden="1"/>
    </xf>
    <xf numFmtId="0" fontId="24" fillId="0" borderId="40" xfId="0" applyFont="1" applyBorder="1" applyAlignment="1" applyProtection="1">
      <alignment horizontal="center"/>
      <protection hidden="1"/>
    </xf>
    <xf numFmtId="0" fontId="24" fillId="0" borderId="41" xfId="0" applyFont="1" applyBorder="1" applyAlignment="1" applyProtection="1">
      <alignment horizontal="center"/>
      <protection hidden="1"/>
    </xf>
    <xf numFmtId="41" fontId="24" fillId="0" borderId="42" xfId="0" applyNumberFormat="1" applyFont="1" applyBorder="1" applyAlignment="1" applyProtection="1">
      <alignment/>
      <protection hidden="1"/>
    </xf>
    <xf numFmtId="0" fontId="14" fillId="0" borderId="0"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28" fillId="0" borderId="16" xfId="0" applyFont="1" applyBorder="1" applyAlignment="1" applyProtection="1">
      <alignment/>
      <protection hidden="1"/>
    </xf>
    <xf numFmtId="0" fontId="24" fillId="0" borderId="40" xfId="0" applyFont="1" applyBorder="1" applyAlignment="1" applyProtection="1">
      <alignment horizontal="center" vertical="center"/>
      <protection hidden="1"/>
    </xf>
    <xf numFmtId="0" fontId="24" fillId="0" borderId="41" xfId="0" applyFont="1" applyBorder="1" applyAlignment="1" applyProtection="1">
      <alignment horizontal="center" vertical="center"/>
      <protection hidden="1"/>
    </xf>
    <xf numFmtId="41" fontId="24" fillId="0" borderId="42" xfId="0" applyNumberFormat="1" applyFont="1" applyBorder="1" applyAlignment="1" applyProtection="1">
      <alignment vertical="center"/>
      <protection hidden="1"/>
    </xf>
    <xf numFmtId="0" fontId="24" fillId="0" borderId="38" xfId="0" applyFont="1" applyBorder="1" applyAlignment="1" applyProtection="1">
      <alignment horizontal="center" vertical="center"/>
      <protection hidden="1"/>
    </xf>
    <xf numFmtId="0" fontId="24" fillId="0" borderId="43" xfId="0" applyFont="1" applyBorder="1" applyAlignment="1" applyProtection="1">
      <alignment horizontal="center" vertical="center"/>
      <protection hidden="1"/>
    </xf>
    <xf numFmtId="0" fontId="24" fillId="0" borderId="44" xfId="0" applyFont="1" applyBorder="1" applyAlignment="1" applyProtection="1">
      <alignment horizontal="center" vertical="center"/>
      <protection hidden="1"/>
    </xf>
    <xf numFmtId="41" fontId="24" fillId="0" borderId="45" xfId="0" applyNumberFormat="1" applyFont="1" applyBorder="1" applyAlignment="1" applyProtection="1">
      <alignment vertical="center"/>
      <protection hidden="1"/>
    </xf>
    <xf numFmtId="0" fontId="24" fillId="0" borderId="25" xfId="0" applyFont="1" applyBorder="1" applyAlignment="1" applyProtection="1">
      <alignment horizontal="center"/>
      <protection hidden="1"/>
    </xf>
    <xf numFmtId="0" fontId="24" fillId="0" borderId="10" xfId="0" applyFont="1" applyBorder="1" applyAlignment="1" applyProtection="1">
      <alignment horizontal="center"/>
      <protection hidden="1"/>
    </xf>
    <xf numFmtId="41" fontId="24" fillId="0" borderId="20" xfId="0" applyNumberFormat="1" applyFont="1" applyBorder="1" applyAlignment="1" applyProtection="1">
      <alignment/>
      <protection hidden="1"/>
    </xf>
    <xf numFmtId="0" fontId="28" fillId="0" borderId="0" xfId="0" applyFont="1" applyBorder="1" applyAlignment="1" applyProtection="1">
      <alignment horizontal="right"/>
      <protection hidden="1"/>
    </xf>
    <xf numFmtId="0" fontId="28" fillId="0" borderId="0" xfId="0" applyFont="1" applyBorder="1" applyAlignment="1" applyProtection="1">
      <alignment/>
      <protection hidden="1"/>
    </xf>
    <xf numFmtId="0" fontId="24" fillId="0" borderId="43" xfId="0" applyFont="1" applyBorder="1" applyAlignment="1" applyProtection="1">
      <alignment horizontal="center"/>
      <protection hidden="1"/>
    </xf>
    <xf numFmtId="0" fontId="24" fillId="0" borderId="44" xfId="0" applyFont="1" applyBorder="1" applyAlignment="1" applyProtection="1">
      <alignment horizontal="center"/>
      <protection hidden="1"/>
    </xf>
    <xf numFmtId="0" fontId="26" fillId="0" borderId="0" xfId="0" applyFont="1" applyBorder="1" applyAlignment="1" applyProtection="1">
      <alignment/>
      <protection hidden="1"/>
    </xf>
    <xf numFmtId="0" fontId="24" fillId="0" borderId="46" xfId="0" applyFont="1" applyBorder="1" applyAlignment="1" applyProtection="1">
      <alignment horizontal="center"/>
      <protection hidden="1"/>
    </xf>
    <xf numFmtId="0" fontId="24" fillId="0" borderId="47" xfId="0" applyFont="1" applyBorder="1" applyAlignment="1" applyProtection="1">
      <alignment horizontal="center"/>
      <protection hidden="1"/>
    </xf>
    <xf numFmtId="41" fontId="24" fillId="0" borderId="48" xfId="0" applyNumberFormat="1" applyFont="1" applyBorder="1" applyAlignment="1" applyProtection="1">
      <alignment/>
      <protection hidden="1"/>
    </xf>
    <xf numFmtId="41" fontId="24" fillId="0" borderId="49" xfId="0" applyNumberFormat="1" applyFont="1" applyBorder="1" applyAlignment="1" applyProtection="1">
      <alignment/>
      <protection hidden="1"/>
    </xf>
    <xf numFmtId="0" fontId="24" fillId="0" borderId="41" xfId="0" applyFont="1" applyBorder="1" applyAlignment="1" applyProtection="1">
      <alignment/>
      <protection hidden="1"/>
    </xf>
    <xf numFmtId="0" fontId="25" fillId="0" borderId="0" xfId="0" applyFont="1" applyBorder="1" applyAlignment="1" applyProtection="1">
      <alignment horizontal="left"/>
      <protection hidden="1"/>
    </xf>
    <xf numFmtId="0" fontId="14" fillId="0" borderId="41" xfId="0" applyFont="1" applyBorder="1" applyAlignment="1" applyProtection="1">
      <alignment horizontal="right"/>
      <protection hidden="1"/>
    </xf>
    <xf numFmtId="41" fontId="14" fillId="0" borderId="41" xfId="0" applyNumberFormat="1" applyFont="1" applyBorder="1" applyAlignment="1" applyProtection="1">
      <alignment horizontal="center"/>
      <protection hidden="1"/>
    </xf>
    <xf numFmtId="0" fontId="24" fillId="0" borderId="26" xfId="0" applyFont="1" applyBorder="1" applyAlignment="1" applyProtection="1">
      <alignment/>
      <protection hidden="1"/>
    </xf>
    <xf numFmtId="41" fontId="14" fillId="0" borderId="0" xfId="0" applyNumberFormat="1" applyFont="1" applyBorder="1" applyAlignment="1" applyProtection="1">
      <alignment horizontal="center"/>
      <protection hidden="1"/>
    </xf>
    <xf numFmtId="0" fontId="28" fillId="0" borderId="14" xfId="0" applyFont="1" applyBorder="1" applyAlignment="1" applyProtection="1">
      <alignment/>
      <protection hidden="1"/>
    </xf>
    <xf numFmtId="0" fontId="24" fillId="0" borderId="50" xfId="0" applyFont="1" applyBorder="1" applyAlignment="1" applyProtection="1">
      <alignment horizontal="center"/>
      <protection hidden="1"/>
    </xf>
    <xf numFmtId="0" fontId="24" fillId="0" borderId="14" xfId="0" applyFont="1" applyBorder="1" applyAlignment="1" applyProtection="1">
      <alignment horizontal="center"/>
      <protection hidden="1"/>
    </xf>
    <xf numFmtId="3" fontId="24" fillId="0" borderId="22" xfId="0" applyNumberFormat="1" applyFont="1" applyBorder="1" applyAlignment="1" applyProtection="1">
      <alignment/>
      <protection hidden="1"/>
    </xf>
    <xf numFmtId="0" fontId="14" fillId="0" borderId="51"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27" fillId="0" borderId="51" xfId="0" applyFont="1" applyBorder="1" applyAlignment="1" applyProtection="1">
      <alignment horizontal="center" vertical="center"/>
      <protection hidden="1"/>
    </xf>
    <xf numFmtId="0" fontId="27" fillId="0" borderId="26"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8" fillId="0" borderId="46" xfId="0" applyFont="1" applyBorder="1" applyAlignment="1" applyProtection="1">
      <alignment vertical="center"/>
      <protection hidden="1"/>
    </xf>
    <xf numFmtId="41" fontId="14" fillId="0" borderId="48"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28" fillId="0" borderId="16" xfId="0" applyNumberFormat="1" applyFont="1" applyBorder="1" applyAlignment="1" applyProtection="1">
      <alignment vertical="center"/>
      <protection hidden="1"/>
    </xf>
    <xf numFmtId="41" fontId="14" fillId="0" borderId="52" xfId="0" applyNumberFormat="1" applyFont="1" applyBorder="1" applyAlignment="1" applyProtection="1">
      <alignment vertical="center"/>
      <protection hidden="1"/>
    </xf>
    <xf numFmtId="0" fontId="14" fillId="0" borderId="26"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8" fillId="0" borderId="40" xfId="0" applyFont="1" applyBorder="1" applyAlignment="1" applyProtection="1">
      <alignment vertical="center"/>
      <protection hidden="1"/>
    </xf>
    <xf numFmtId="41" fontId="14" fillId="0" borderId="42" xfId="0" applyNumberFormat="1" applyFont="1" applyBorder="1" applyAlignment="1" applyProtection="1">
      <alignment vertical="center"/>
      <protection hidden="1"/>
    </xf>
    <xf numFmtId="0" fontId="28" fillId="0" borderId="37" xfId="0" applyFont="1" applyBorder="1" applyAlignment="1" applyProtection="1">
      <alignment vertical="center"/>
      <protection hidden="1"/>
    </xf>
    <xf numFmtId="41" fontId="14" fillId="0" borderId="39" xfId="0" applyNumberFormat="1" applyFont="1" applyBorder="1" applyAlignment="1" applyProtection="1">
      <alignment vertical="center"/>
      <protection hidden="1"/>
    </xf>
    <xf numFmtId="0" fontId="28" fillId="0" borderId="43" xfId="0" applyFont="1" applyBorder="1" applyAlignment="1" applyProtection="1">
      <alignment vertical="center"/>
      <protection hidden="1"/>
    </xf>
    <xf numFmtId="41" fontId="14" fillId="0" borderId="45" xfId="0" applyNumberFormat="1" applyFont="1" applyBorder="1" applyAlignment="1" applyProtection="1">
      <alignment vertical="center"/>
      <protection hidden="1"/>
    </xf>
    <xf numFmtId="0" fontId="27" fillId="0" borderId="0" xfId="0" applyFont="1" applyBorder="1" applyAlignment="1" applyProtection="1">
      <alignment horizontal="left" vertical="center"/>
      <protection hidden="1"/>
    </xf>
    <xf numFmtId="0" fontId="28" fillId="0" borderId="26" xfId="0" applyFont="1" applyBorder="1" applyAlignment="1" applyProtection="1">
      <alignment vertical="center"/>
      <protection hidden="1"/>
    </xf>
    <xf numFmtId="41" fontId="14" fillId="0" borderId="16" xfId="0" applyNumberFormat="1" applyFont="1" applyBorder="1" applyAlignment="1" applyProtection="1">
      <alignment vertical="center"/>
      <protection hidden="1"/>
    </xf>
    <xf numFmtId="41" fontId="24" fillId="0" borderId="52" xfId="0" applyNumberFormat="1" applyFont="1" applyBorder="1" applyAlignment="1" applyProtection="1">
      <alignment vertical="center"/>
      <protection hidden="1"/>
    </xf>
    <xf numFmtId="41" fontId="14" fillId="0" borderId="0" xfId="0" applyNumberFormat="1" applyFont="1" applyBorder="1" applyAlignment="1" applyProtection="1">
      <alignment vertical="center"/>
      <protection hidden="1"/>
    </xf>
    <xf numFmtId="3" fontId="28" fillId="0" borderId="26" xfId="0" applyNumberFormat="1" applyFont="1" applyBorder="1" applyAlignment="1" applyProtection="1">
      <alignment vertical="center"/>
      <protection hidden="1"/>
    </xf>
    <xf numFmtId="0" fontId="14" fillId="0" borderId="16" xfId="0" applyFont="1" applyBorder="1" applyAlignment="1" applyProtection="1">
      <alignment vertical="center"/>
      <protection hidden="1"/>
    </xf>
    <xf numFmtId="0" fontId="28" fillId="0" borderId="41" xfId="0" applyFont="1" applyBorder="1" applyAlignment="1" applyProtection="1">
      <alignment vertical="center"/>
      <protection hidden="1"/>
    </xf>
    <xf numFmtId="41" fontId="14" fillId="0" borderId="41" xfId="0" applyNumberFormat="1" applyFont="1" applyBorder="1" applyAlignment="1" applyProtection="1">
      <alignment vertical="center"/>
      <protection hidden="1"/>
    </xf>
    <xf numFmtId="3" fontId="28" fillId="0" borderId="50" xfId="0" applyNumberFormat="1" applyFont="1" applyBorder="1" applyAlignment="1" applyProtection="1">
      <alignment vertical="center"/>
      <protection hidden="1"/>
    </xf>
    <xf numFmtId="41" fontId="14" fillId="0" borderId="53" xfId="0" applyNumberFormat="1" applyFont="1" applyBorder="1" applyAlignment="1" applyProtection="1">
      <alignment vertical="center"/>
      <protection hidden="1"/>
    </xf>
    <xf numFmtId="0" fontId="28" fillId="0" borderId="16" xfId="0" applyFont="1" applyBorder="1" applyAlignment="1" applyProtection="1">
      <alignment vertical="center"/>
      <protection hidden="1"/>
    </xf>
    <xf numFmtId="3" fontId="28" fillId="0" borderId="54" xfId="0" applyNumberFormat="1" applyFont="1" applyBorder="1" applyAlignment="1" applyProtection="1">
      <alignment vertical="center"/>
      <protection hidden="1"/>
    </xf>
    <xf numFmtId="41" fontId="24" fillId="0" borderId="55" xfId="0" applyNumberFormat="1" applyFont="1" applyBorder="1" applyAlignment="1" applyProtection="1">
      <alignment vertical="center"/>
      <protection hidden="1"/>
    </xf>
    <xf numFmtId="3" fontId="28" fillId="0" borderId="40" xfId="0" applyNumberFormat="1" applyFont="1" applyBorder="1" applyAlignment="1" applyProtection="1">
      <alignment vertical="center"/>
      <protection hidden="1"/>
    </xf>
    <xf numFmtId="41" fontId="14" fillId="0" borderId="49" xfId="0" applyNumberFormat="1" applyFont="1" applyBorder="1" applyAlignment="1" applyProtection="1">
      <alignment vertical="center"/>
      <protection hidden="1"/>
    </xf>
    <xf numFmtId="3" fontId="28" fillId="0" borderId="43" xfId="0" applyNumberFormat="1" applyFont="1" applyBorder="1" applyAlignment="1" applyProtection="1">
      <alignment vertical="center"/>
      <protection hidden="1"/>
    </xf>
    <xf numFmtId="41" fontId="14" fillId="0" borderId="56" xfId="0" applyNumberFormat="1" applyFont="1" applyBorder="1" applyAlignment="1" applyProtection="1">
      <alignment vertical="center"/>
      <protection hidden="1"/>
    </xf>
    <xf numFmtId="0" fontId="26" fillId="0" borderId="0" xfId="0" applyFont="1" applyBorder="1" applyAlignment="1" applyProtection="1">
      <alignment vertical="center"/>
      <protection hidden="1"/>
    </xf>
    <xf numFmtId="41" fontId="28" fillId="0" borderId="16" xfId="0" applyNumberFormat="1" applyFont="1" applyBorder="1" applyAlignment="1" applyProtection="1">
      <alignment vertical="center"/>
      <protection hidden="1"/>
    </xf>
    <xf numFmtId="0" fontId="27" fillId="0" borderId="51" xfId="0" applyFont="1" applyBorder="1" applyAlignment="1" applyProtection="1">
      <alignment horizontal="right" vertical="center"/>
      <protection hidden="1"/>
    </xf>
    <xf numFmtId="0" fontId="25" fillId="0" borderId="0" xfId="0" applyFont="1" applyBorder="1" applyAlignment="1" applyProtection="1">
      <alignment vertical="center"/>
      <protection hidden="1"/>
    </xf>
    <xf numFmtId="3" fontId="28" fillId="0" borderId="26" xfId="0" applyNumberFormat="1" applyFont="1" applyBorder="1" applyAlignment="1" applyProtection="1">
      <alignment horizontal="right" vertical="center"/>
      <protection hidden="1"/>
    </xf>
    <xf numFmtId="3" fontId="28" fillId="0" borderId="41" xfId="0" applyNumberFormat="1" applyFont="1" applyBorder="1" applyAlignment="1" applyProtection="1">
      <alignment vertical="center"/>
      <protection hidden="1"/>
    </xf>
    <xf numFmtId="3" fontId="28" fillId="0" borderId="38" xfId="0" applyNumberFormat="1" applyFont="1" applyBorder="1" applyAlignment="1" applyProtection="1">
      <alignment vertical="center"/>
      <protection hidden="1"/>
    </xf>
    <xf numFmtId="3" fontId="28" fillId="0" borderId="14" xfId="0" applyNumberFormat="1" applyFont="1" applyBorder="1" applyAlignment="1" applyProtection="1">
      <alignment vertical="center"/>
      <protection hidden="1"/>
    </xf>
    <xf numFmtId="3" fontId="28" fillId="0" borderId="37" xfId="0" applyNumberFormat="1" applyFont="1" applyBorder="1" applyAlignment="1" applyProtection="1">
      <alignment vertical="center"/>
      <protection hidden="1"/>
    </xf>
    <xf numFmtId="3" fontId="28" fillId="0" borderId="10" xfId="0" applyNumberFormat="1" applyFont="1" applyBorder="1" applyAlignment="1" applyProtection="1">
      <alignment vertical="center"/>
      <protection hidden="1"/>
    </xf>
    <xf numFmtId="3" fontId="25" fillId="0" borderId="0" xfId="0" applyNumberFormat="1" applyFont="1" applyBorder="1" applyAlignment="1" applyProtection="1">
      <alignment vertical="center"/>
      <protection hidden="1"/>
    </xf>
    <xf numFmtId="3" fontId="27" fillId="0" borderId="26" xfId="0" applyNumberFormat="1" applyFont="1" applyBorder="1" applyAlignment="1" applyProtection="1">
      <alignment vertical="center"/>
      <protection hidden="1"/>
    </xf>
    <xf numFmtId="3" fontId="27" fillId="0" borderId="0" xfId="0" applyNumberFormat="1" applyFont="1" applyBorder="1" applyAlignment="1" applyProtection="1">
      <alignment vertical="center"/>
      <protection hidden="1"/>
    </xf>
    <xf numFmtId="3" fontId="14" fillId="0" borderId="16" xfId="0" applyNumberFormat="1" applyFont="1" applyBorder="1" applyAlignment="1" applyProtection="1">
      <alignment vertical="center"/>
      <protection hidden="1"/>
    </xf>
    <xf numFmtId="3" fontId="29" fillId="0" borderId="26" xfId="0" applyNumberFormat="1" applyFont="1" applyBorder="1" applyAlignment="1" applyProtection="1">
      <alignment horizontal="right" vertical="center"/>
      <protection hidden="1"/>
    </xf>
    <xf numFmtId="3" fontId="25" fillId="0" borderId="41" xfId="0" applyNumberFormat="1" applyFont="1" applyBorder="1" applyAlignment="1" applyProtection="1">
      <alignment vertical="center"/>
      <protection hidden="1"/>
    </xf>
    <xf numFmtId="41" fontId="24" fillId="0" borderId="49" xfId="0" applyNumberFormat="1" applyFont="1" applyBorder="1" applyAlignment="1" applyProtection="1">
      <alignment vertical="center"/>
      <protection hidden="1"/>
    </xf>
    <xf numFmtId="3" fontId="25" fillId="0" borderId="43" xfId="0" applyNumberFormat="1" applyFont="1" applyBorder="1" applyAlignment="1" applyProtection="1">
      <alignment vertical="center"/>
      <protection hidden="1"/>
    </xf>
    <xf numFmtId="41" fontId="24" fillId="0" borderId="56" xfId="0" applyNumberFormat="1" applyFont="1" applyBorder="1" applyAlignment="1" applyProtection="1">
      <alignment vertical="center"/>
      <protection hidden="1"/>
    </xf>
    <xf numFmtId="3" fontId="25" fillId="0" borderId="21" xfId="0" applyNumberFormat="1" applyFont="1" applyBorder="1" applyAlignment="1" applyProtection="1">
      <alignment vertical="center"/>
      <protection hidden="1"/>
    </xf>
    <xf numFmtId="41" fontId="24" fillId="0" borderId="57" xfId="0" applyNumberFormat="1" applyFont="1" applyBorder="1" applyAlignment="1" applyProtection="1">
      <alignment/>
      <protection hidden="1"/>
    </xf>
    <xf numFmtId="0" fontId="29" fillId="0" borderId="0" xfId="0" applyFont="1" applyBorder="1" applyAlignment="1" applyProtection="1">
      <alignment horizontal="right"/>
      <protection hidden="1"/>
    </xf>
    <xf numFmtId="0" fontId="3" fillId="39" borderId="27" xfId="0" applyFont="1" applyFill="1" applyBorder="1" applyAlignment="1">
      <alignment vertical="center"/>
    </xf>
    <xf numFmtId="0" fontId="3" fillId="39" borderId="58" xfId="0" applyFont="1" applyFill="1" applyBorder="1" applyAlignment="1">
      <alignment vertical="center"/>
    </xf>
    <xf numFmtId="0" fontId="3" fillId="39" borderId="0" xfId="0" applyFont="1" applyFill="1" applyBorder="1" applyAlignment="1">
      <alignment vertical="center"/>
    </xf>
    <xf numFmtId="0" fontId="3" fillId="39" borderId="34" xfId="0" applyFont="1" applyFill="1" applyBorder="1" applyAlignment="1">
      <alignment vertical="center"/>
    </xf>
    <xf numFmtId="0" fontId="34" fillId="39" borderId="33" xfId="0" applyFont="1" applyFill="1" applyBorder="1" applyAlignment="1">
      <alignment vertical="center"/>
    </xf>
    <xf numFmtId="0" fontId="3" fillId="39" borderId="59" xfId="0" applyFont="1" applyFill="1" applyBorder="1" applyAlignment="1">
      <alignment vertical="center"/>
    </xf>
    <xf numFmtId="0" fontId="3" fillId="39" borderId="35" xfId="0" applyFont="1" applyFill="1" applyBorder="1" applyAlignment="1">
      <alignment vertical="center"/>
    </xf>
    <xf numFmtId="0" fontId="3" fillId="33" borderId="50" xfId="0" applyFont="1" applyFill="1" applyBorder="1" applyAlignment="1">
      <alignment vertical="center" wrapText="1"/>
    </xf>
    <xf numFmtId="41" fontId="33" fillId="0" borderId="0" xfId="0" applyNumberFormat="1" applyFont="1" applyBorder="1" applyAlignment="1" applyProtection="1">
      <alignment horizontal="center" vertical="center"/>
      <protection hidden="1"/>
    </xf>
    <xf numFmtId="0" fontId="27" fillId="0" borderId="60" xfId="0" applyFont="1" applyBorder="1" applyAlignment="1" applyProtection="1">
      <alignment horizontal="right"/>
      <protection hidden="1"/>
    </xf>
    <xf numFmtId="0" fontId="28" fillId="0" borderId="61" xfId="0" applyFont="1" applyBorder="1" applyAlignment="1" applyProtection="1">
      <alignment horizontal="center" vertical="center"/>
      <protection hidden="1"/>
    </xf>
    <xf numFmtId="0" fontId="28" fillId="0" borderId="62" xfId="0" applyFont="1" applyBorder="1" applyAlignment="1" applyProtection="1">
      <alignment/>
      <protection hidden="1"/>
    </xf>
    <xf numFmtId="41" fontId="28" fillId="0" borderId="63" xfId="0" applyNumberFormat="1" applyFont="1" applyBorder="1" applyAlignment="1" applyProtection="1">
      <alignment/>
      <protection hidden="1"/>
    </xf>
    <xf numFmtId="0" fontId="27" fillId="0" borderId="64" xfId="0" applyFont="1" applyBorder="1" applyAlignment="1" applyProtection="1">
      <alignment horizontal="center"/>
      <protection hidden="1"/>
    </xf>
    <xf numFmtId="0" fontId="14" fillId="0" borderId="65" xfId="0" applyFont="1" applyBorder="1" applyAlignment="1" applyProtection="1">
      <alignment horizontal="center" vertical="top"/>
      <protection hidden="1"/>
    </xf>
    <xf numFmtId="41" fontId="28" fillId="0" borderId="52" xfId="0" applyNumberFormat="1" applyFont="1" applyBorder="1" applyAlignment="1" applyProtection="1">
      <alignment/>
      <protection hidden="1"/>
    </xf>
    <xf numFmtId="0" fontId="14" fillId="0" borderId="0" xfId="0" applyFont="1" applyBorder="1" applyAlignment="1">
      <alignment vertical="center"/>
    </xf>
    <xf numFmtId="0" fontId="26" fillId="0" borderId="64" xfId="0" applyFont="1" applyBorder="1" applyAlignment="1" applyProtection="1">
      <alignment/>
      <protection hidden="1"/>
    </xf>
    <xf numFmtId="0" fontId="14" fillId="0" borderId="41" xfId="0" applyFont="1" applyBorder="1" applyAlignment="1" applyProtection="1">
      <alignment/>
      <protection hidden="1"/>
    </xf>
    <xf numFmtId="41" fontId="14" fillId="0" borderId="41" xfId="0" applyNumberFormat="1" applyFont="1" applyBorder="1" applyAlignment="1" applyProtection="1">
      <alignment/>
      <protection hidden="1"/>
    </xf>
    <xf numFmtId="41" fontId="14" fillId="0" borderId="66" xfId="0" applyNumberFormat="1" applyFont="1" applyBorder="1" applyAlignment="1" applyProtection="1">
      <alignment/>
      <protection hidden="1"/>
    </xf>
    <xf numFmtId="41" fontId="14" fillId="0" borderId="67" xfId="0" applyNumberFormat="1" applyFont="1" applyBorder="1" applyAlignment="1" applyProtection="1">
      <alignment/>
      <protection hidden="1"/>
    </xf>
    <xf numFmtId="41" fontId="14" fillId="0" borderId="0" xfId="0" applyNumberFormat="1" applyFont="1" applyBorder="1" applyAlignment="1">
      <alignment/>
    </xf>
    <xf numFmtId="0" fontId="14" fillId="0" borderId="0" xfId="0" applyFont="1" applyAlignment="1" applyProtection="1">
      <alignment/>
      <protection hidden="1"/>
    </xf>
    <xf numFmtId="0" fontId="27" fillId="0" borderId="68" xfId="0" applyFont="1" applyBorder="1" applyAlignment="1" applyProtection="1">
      <alignment vertical="center"/>
      <protection hidden="1"/>
    </xf>
    <xf numFmtId="0" fontId="27" fillId="0" borderId="69" xfId="0" applyFont="1" applyBorder="1" applyAlignment="1" applyProtection="1">
      <alignment vertical="center"/>
      <protection hidden="1"/>
    </xf>
    <xf numFmtId="0" fontId="14" fillId="0" borderId="70" xfId="0" applyFont="1" applyBorder="1" applyAlignment="1" applyProtection="1">
      <alignment vertical="center"/>
      <protection hidden="1"/>
    </xf>
    <xf numFmtId="41" fontId="24" fillId="0" borderId="71" xfId="0" applyNumberFormat="1" applyFont="1" applyBorder="1" applyAlignment="1" applyProtection="1">
      <alignment vertical="center"/>
      <protection hidden="1"/>
    </xf>
    <xf numFmtId="0" fontId="28" fillId="0" borderId="68" xfId="0" applyFont="1" applyBorder="1" applyAlignment="1" applyProtection="1">
      <alignment/>
      <protection hidden="1"/>
    </xf>
    <xf numFmtId="0" fontId="28" fillId="0" borderId="69" xfId="0" applyFont="1" applyBorder="1" applyAlignment="1" applyProtection="1">
      <alignment/>
      <protection hidden="1"/>
    </xf>
    <xf numFmtId="0" fontId="14" fillId="0" borderId="70" xfId="0" applyFont="1" applyBorder="1" applyAlignment="1" applyProtection="1">
      <alignment/>
      <protection hidden="1"/>
    </xf>
    <xf numFmtId="41" fontId="24" fillId="0" borderId="71" xfId="0" applyNumberFormat="1" applyFont="1" applyBorder="1" applyAlignment="1" applyProtection="1">
      <alignment/>
      <protection hidden="1"/>
    </xf>
    <xf numFmtId="0" fontId="25" fillId="0" borderId="0" xfId="0" applyFont="1" applyBorder="1" applyAlignment="1">
      <alignment/>
    </xf>
    <xf numFmtId="41" fontId="14" fillId="0" borderId="52" xfId="0" applyNumberFormat="1" applyFont="1" applyBorder="1" applyAlignment="1" applyProtection="1">
      <alignment/>
      <protection hidden="1"/>
    </xf>
    <xf numFmtId="41" fontId="24" fillId="0" borderId="52" xfId="0" applyNumberFormat="1" applyFont="1" applyBorder="1" applyAlignment="1" applyProtection="1">
      <alignment horizontal="right"/>
      <protection hidden="1"/>
    </xf>
    <xf numFmtId="1" fontId="28" fillId="0" borderId="0" xfId="0" applyNumberFormat="1" applyFont="1" applyBorder="1" applyAlignment="1">
      <alignment horizontal="right"/>
    </xf>
    <xf numFmtId="0" fontId="14" fillId="0" borderId="72" xfId="0" applyFont="1" applyBorder="1" applyAlignment="1" applyProtection="1">
      <alignment/>
      <protection hidden="1"/>
    </xf>
    <xf numFmtId="41" fontId="14" fillId="0" borderId="49" xfId="0" applyNumberFormat="1" applyFont="1" applyBorder="1" applyAlignment="1" applyProtection="1">
      <alignment/>
      <protection hidden="1"/>
    </xf>
    <xf numFmtId="0" fontId="27" fillId="0" borderId="73" xfId="0" applyFont="1" applyBorder="1" applyAlignment="1" applyProtection="1">
      <alignment horizontal="center" vertical="center"/>
      <protection hidden="1"/>
    </xf>
    <xf numFmtId="0" fontId="28" fillId="0" borderId="0" xfId="0" applyFont="1" applyBorder="1" applyAlignment="1" applyProtection="1">
      <alignment horizontal="left" vertical="center"/>
      <protection hidden="1"/>
    </xf>
    <xf numFmtId="0" fontId="28" fillId="0" borderId="68" xfId="0" applyFont="1" applyBorder="1" applyAlignment="1" applyProtection="1">
      <alignment vertical="center"/>
      <protection hidden="1"/>
    </xf>
    <xf numFmtId="0" fontId="28" fillId="0" borderId="69" xfId="0" applyFont="1" applyBorder="1" applyAlignment="1" applyProtection="1">
      <alignment vertical="center"/>
      <protection hidden="1"/>
    </xf>
    <xf numFmtId="0" fontId="28" fillId="0" borderId="74" xfId="0" applyFont="1" applyBorder="1" applyAlignment="1" applyProtection="1">
      <alignment/>
      <protection hidden="1"/>
    </xf>
    <xf numFmtId="0" fontId="28" fillId="0" borderId="10" xfId="0" applyFont="1" applyBorder="1" applyAlignment="1" applyProtection="1">
      <alignment/>
      <protection hidden="1"/>
    </xf>
    <xf numFmtId="0" fontId="28" fillId="0" borderId="29" xfId="0" applyFont="1" applyBorder="1" applyAlignment="1" applyProtection="1">
      <alignment/>
      <protection hidden="1"/>
    </xf>
    <xf numFmtId="0" fontId="28" fillId="0" borderId="75" xfId="0" applyFont="1" applyBorder="1" applyAlignment="1" applyProtection="1">
      <alignment/>
      <protection hidden="1"/>
    </xf>
    <xf numFmtId="0" fontId="28" fillId="0" borderId="71" xfId="0" applyFont="1" applyBorder="1" applyAlignment="1" applyProtection="1">
      <alignment/>
      <protection hidden="1"/>
    </xf>
    <xf numFmtId="0" fontId="28" fillId="0" borderId="51" xfId="0" applyFont="1" applyBorder="1" applyAlignment="1" applyProtection="1">
      <alignment/>
      <protection hidden="1"/>
    </xf>
    <xf numFmtId="0" fontId="28" fillId="0" borderId="52" xfId="0" applyFont="1" applyBorder="1" applyAlignment="1" applyProtection="1">
      <alignment/>
      <protection hidden="1"/>
    </xf>
    <xf numFmtId="0" fontId="27" fillId="0" borderId="0" xfId="0" applyFont="1" applyBorder="1" applyAlignment="1">
      <alignment horizontal="center"/>
    </xf>
    <xf numFmtId="0" fontId="28" fillId="0" borderId="76" xfId="0" applyFont="1" applyBorder="1" applyAlignment="1" applyProtection="1">
      <alignment horizontal="center"/>
      <protection hidden="1"/>
    </xf>
    <xf numFmtId="0" fontId="28" fillId="0" borderId="21" xfId="0" applyFont="1" applyBorder="1" applyAlignment="1" applyProtection="1">
      <alignment horizontal="center"/>
      <protection hidden="1"/>
    </xf>
    <xf numFmtId="0" fontId="28" fillId="0" borderId="21" xfId="0" applyFont="1" applyBorder="1" applyAlignment="1" applyProtection="1">
      <alignment/>
      <protection hidden="1"/>
    </xf>
    <xf numFmtId="0" fontId="28" fillId="0" borderId="77" xfId="0" applyFont="1" applyBorder="1" applyAlignment="1" applyProtection="1">
      <alignment horizontal="center"/>
      <protection hidden="1"/>
    </xf>
    <xf numFmtId="0" fontId="28" fillId="0" borderId="64" xfId="0" applyFont="1" applyBorder="1" applyAlignment="1" applyProtection="1">
      <alignment horizontal="center"/>
      <protection hidden="1"/>
    </xf>
    <xf numFmtId="0" fontId="28" fillId="0" borderId="26" xfId="0" applyFont="1" applyBorder="1" applyAlignment="1" applyProtection="1">
      <alignment horizontal="center"/>
      <protection hidden="1"/>
    </xf>
    <xf numFmtId="0" fontId="28" fillId="0" borderId="26" xfId="0" applyFont="1" applyBorder="1" applyAlignment="1" applyProtection="1">
      <alignment/>
      <protection hidden="1"/>
    </xf>
    <xf numFmtId="0" fontId="28" fillId="0" borderId="16" xfId="0" applyFont="1" applyBorder="1" applyAlignment="1" applyProtection="1">
      <alignment horizontal="center"/>
      <protection hidden="1"/>
    </xf>
    <xf numFmtId="0" fontId="28" fillId="0" borderId="73" xfId="0" applyFont="1" applyBorder="1" applyAlignment="1" applyProtection="1">
      <alignment/>
      <protection hidden="1"/>
    </xf>
    <xf numFmtId="0" fontId="28" fillId="0" borderId="50" xfId="0" applyFont="1" applyBorder="1" applyAlignment="1" applyProtection="1">
      <alignment horizontal="center"/>
      <protection hidden="1"/>
    </xf>
    <xf numFmtId="0" fontId="28" fillId="0" borderId="14" xfId="0" applyFont="1" applyBorder="1" applyAlignment="1" applyProtection="1">
      <alignment horizontal="center"/>
      <protection hidden="1"/>
    </xf>
    <xf numFmtId="0" fontId="28" fillId="0" borderId="22" xfId="0" applyFont="1" applyBorder="1" applyAlignment="1" applyProtection="1">
      <alignment horizontal="center"/>
      <protection hidden="1"/>
    </xf>
    <xf numFmtId="0" fontId="28" fillId="0" borderId="53" xfId="0" applyFont="1" applyBorder="1" applyAlignment="1" applyProtection="1">
      <alignment horizontal="center"/>
      <protection hidden="1"/>
    </xf>
    <xf numFmtId="0" fontId="28" fillId="0" borderId="73" xfId="0" applyFont="1" applyBorder="1" applyAlignment="1" applyProtection="1">
      <alignment horizontal="center"/>
      <protection hidden="1"/>
    </xf>
    <xf numFmtId="0" fontId="28" fillId="0" borderId="25" xfId="0" applyFont="1" applyBorder="1" applyAlignment="1" applyProtection="1">
      <alignment horizontal="center"/>
      <protection hidden="1"/>
    </xf>
    <xf numFmtId="0" fontId="28" fillId="0" borderId="10" xfId="0" applyFont="1" applyBorder="1" applyAlignment="1" applyProtection="1">
      <alignment horizontal="center"/>
      <protection hidden="1"/>
    </xf>
    <xf numFmtId="0" fontId="28" fillId="0" borderId="24" xfId="0" applyFont="1" applyBorder="1" applyAlignment="1" applyProtection="1">
      <alignment horizontal="center"/>
      <protection hidden="1"/>
    </xf>
    <xf numFmtId="0" fontId="28" fillId="0" borderId="20" xfId="0" applyFont="1" applyBorder="1" applyAlignment="1" applyProtection="1">
      <alignment horizontal="center"/>
      <protection hidden="1"/>
    </xf>
    <xf numFmtId="0" fontId="28" fillId="0" borderId="71" xfId="0" applyFont="1" applyBorder="1" applyAlignment="1" applyProtection="1">
      <alignment horizontal="center"/>
      <protection hidden="1"/>
    </xf>
    <xf numFmtId="0" fontId="28" fillId="0" borderId="19" xfId="0" applyFont="1" applyBorder="1" applyAlignment="1" applyProtection="1">
      <alignment horizontal="center"/>
      <protection hidden="1"/>
    </xf>
    <xf numFmtId="0" fontId="24" fillId="0" borderId="0" xfId="0" applyFont="1" applyBorder="1" applyAlignment="1">
      <alignment horizontal="left"/>
    </xf>
    <xf numFmtId="0" fontId="28" fillId="0" borderId="51" xfId="0" applyFont="1" applyBorder="1" applyAlignment="1" applyProtection="1">
      <alignment horizontal="left"/>
      <protection hidden="1"/>
    </xf>
    <xf numFmtId="0" fontId="28" fillId="0" borderId="52" xfId="0" applyFont="1" applyBorder="1" applyAlignment="1" applyProtection="1">
      <alignment horizontal="left"/>
      <protection hidden="1"/>
    </xf>
    <xf numFmtId="0" fontId="14" fillId="0" borderId="51" xfId="0" applyFont="1" applyBorder="1" applyAlignment="1" applyProtection="1">
      <alignment/>
      <protection hidden="1"/>
    </xf>
    <xf numFmtId="0" fontId="14" fillId="0" borderId="52" xfId="0" applyFont="1" applyBorder="1" applyAlignment="1" applyProtection="1">
      <alignment/>
      <protection hidden="1"/>
    </xf>
    <xf numFmtId="0" fontId="14" fillId="0" borderId="52" xfId="0" applyFont="1" applyBorder="1" applyAlignment="1" applyProtection="1">
      <alignment horizontal="left"/>
      <protection hidden="1"/>
    </xf>
    <xf numFmtId="49" fontId="14" fillId="0" borderId="0" xfId="0" applyNumberFormat="1" applyFont="1" applyBorder="1" applyAlignment="1" applyProtection="1">
      <alignment horizontal="left"/>
      <protection hidden="1"/>
    </xf>
    <xf numFmtId="0" fontId="28" fillId="0" borderId="78" xfId="0" applyFont="1" applyBorder="1" applyAlignment="1">
      <alignment/>
    </xf>
    <xf numFmtId="0" fontId="28" fillId="0" borderId="79" xfId="0" applyFont="1" applyBorder="1" applyAlignment="1">
      <alignment/>
    </xf>
    <xf numFmtId="0" fontId="23" fillId="0" borderId="0" xfId="0" applyFont="1" applyBorder="1" applyAlignment="1" applyProtection="1">
      <alignment horizontal="center" vertical="center"/>
      <protection hidden="1"/>
    </xf>
    <xf numFmtId="0" fontId="36" fillId="0" borderId="0" xfId="0" applyFont="1" applyBorder="1" applyAlignment="1" applyProtection="1">
      <alignment horizontal="left" vertical="center"/>
      <protection hidden="1"/>
    </xf>
    <xf numFmtId="0" fontId="39" fillId="0" borderId="0" xfId="0" applyFont="1" applyBorder="1" applyAlignment="1" applyProtection="1">
      <alignment horizontal="center" vertical="center"/>
      <protection hidden="1"/>
    </xf>
    <xf numFmtId="1" fontId="39" fillId="0" borderId="0" xfId="0" applyNumberFormat="1" applyFont="1" applyBorder="1" applyAlignment="1" applyProtection="1">
      <alignment horizontal="center" vertical="center"/>
      <protection/>
    </xf>
    <xf numFmtId="0" fontId="39" fillId="0" borderId="0" xfId="0" applyFont="1" applyBorder="1" applyAlignment="1" applyProtection="1">
      <alignment horizontal="left" vertical="center"/>
      <protection/>
    </xf>
    <xf numFmtId="0" fontId="39" fillId="0" borderId="0" xfId="0" applyFont="1" applyBorder="1" applyAlignment="1" applyProtection="1">
      <alignment horizontal="left" vertical="center"/>
      <protection hidden="1"/>
    </xf>
    <xf numFmtId="0" fontId="37" fillId="0" borderId="0"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8" fillId="0" borderId="80" xfId="0" applyFont="1" applyBorder="1" applyAlignment="1" applyProtection="1">
      <alignment/>
      <protection hidden="1"/>
    </xf>
    <xf numFmtId="0" fontId="3" fillId="33" borderId="17" xfId="0" applyFont="1" applyFill="1" applyBorder="1" applyAlignment="1">
      <alignment vertical="center" wrapText="1"/>
    </xf>
    <xf numFmtId="0" fontId="3" fillId="33" borderId="35" xfId="0" applyFont="1" applyFill="1" applyBorder="1" applyAlignment="1">
      <alignment vertical="center"/>
    </xf>
    <xf numFmtId="0" fontId="0" fillId="0" borderId="81" xfId="0" applyBorder="1" applyAlignment="1">
      <alignment/>
    </xf>
    <xf numFmtId="0" fontId="3" fillId="40" borderId="0" xfId="0" applyFont="1" applyFill="1" applyAlignment="1">
      <alignment horizontal="right" vertical="center"/>
    </xf>
    <xf numFmtId="1" fontId="13" fillId="0" borderId="19" xfId="0" applyNumberFormat="1" applyFont="1" applyBorder="1" applyAlignment="1">
      <alignment horizontal="center" vertical="center"/>
    </xf>
    <xf numFmtId="0" fontId="55" fillId="33" borderId="15" xfId="0" applyFont="1" applyFill="1" applyBorder="1" applyAlignment="1">
      <alignment vertical="center"/>
    </xf>
    <xf numFmtId="0" fontId="50" fillId="0" borderId="10" xfId="0" applyFont="1" applyBorder="1" applyAlignment="1">
      <alignment vertical="center" wrapText="1"/>
    </xf>
    <xf numFmtId="0" fontId="51" fillId="0" borderId="25" xfId="0" applyFont="1" applyBorder="1" applyAlignment="1">
      <alignment vertical="center" wrapText="1"/>
    </xf>
    <xf numFmtId="0" fontId="51" fillId="0" borderId="10" xfId="0" applyFont="1" applyBorder="1" applyAlignment="1">
      <alignment vertical="center" wrapText="1"/>
    </xf>
    <xf numFmtId="0" fontId="52" fillId="0" borderId="19" xfId="0" applyFont="1" applyBorder="1" applyAlignment="1">
      <alignment horizontal="left" vertical="center" wrapText="1"/>
    </xf>
    <xf numFmtId="0" fontId="8" fillId="0" borderId="19" xfId="0" applyFont="1" applyBorder="1" applyAlignment="1">
      <alignment horizontal="center" vertical="center" wrapText="1"/>
    </xf>
    <xf numFmtId="0" fontId="13" fillId="0" borderId="0" xfId="0" applyFont="1" applyBorder="1" applyAlignment="1">
      <alignment horizontal="center" vertical="center"/>
    </xf>
    <xf numFmtId="1" fontId="13" fillId="0" borderId="0" xfId="0" applyNumberFormat="1" applyFont="1" applyBorder="1" applyAlignment="1">
      <alignment horizontal="center" vertical="center"/>
    </xf>
    <xf numFmtId="0" fontId="50" fillId="0" borderId="19" xfId="0" applyFont="1" applyBorder="1" applyAlignment="1">
      <alignment horizontal="center" vertical="center" wrapText="1"/>
    </xf>
    <xf numFmtId="0" fontId="6" fillId="33" borderId="12" xfId="0" applyFont="1" applyFill="1" applyBorder="1" applyAlignment="1">
      <alignment vertical="center"/>
    </xf>
    <xf numFmtId="0" fontId="3" fillId="33" borderId="31" xfId="0" applyFont="1" applyFill="1" applyBorder="1" applyAlignment="1">
      <alignment vertical="center"/>
    </xf>
    <xf numFmtId="0" fontId="3" fillId="33" borderId="82" xfId="0" applyFont="1" applyFill="1" applyBorder="1" applyAlignment="1">
      <alignment vertical="center"/>
    </xf>
    <xf numFmtId="0" fontId="3" fillId="33" borderId="83" xfId="0" applyFont="1" applyFill="1" applyBorder="1" applyAlignment="1">
      <alignment vertical="center"/>
    </xf>
    <xf numFmtId="0" fontId="56" fillId="39" borderId="31" xfId="0" applyFont="1" applyFill="1" applyBorder="1" applyAlignment="1">
      <alignment vertical="center"/>
    </xf>
    <xf numFmtId="0" fontId="59" fillId="0" borderId="0" xfId="0" applyFont="1" applyAlignment="1">
      <alignment/>
    </xf>
    <xf numFmtId="0" fontId="59" fillId="0" borderId="0" xfId="0" applyFont="1" applyBorder="1" applyAlignment="1">
      <alignment/>
    </xf>
    <xf numFmtId="0" fontId="62" fillId="0" borderId="0" xfId="0" applyFont="1" applyBorder="1" applyAlignment="1">
      <alignment/>
    </xf>
    <xf numFmtId="0" fontId="60" fillId="0" borderId="0" xfId="0" applyFont="1" applyBorder="1" applyAlignment="1">
      <alignment/>
    </xf>
    <xf numFmtId="3" fontId="60" fillId="0" borderId="0" xfId="0" applyNumberFormat="1" applyFont="1" applyBorder="1" applyAlignment="1">
      <alignment/>
    </xf>
    <xf numFmtId="3" fontId="61" fillId="0" borderId="0" xfId="0" applyNumberFormat="1" applyFont="1" applyBorder="1" applyAlignment="1">
      <alignment/>
    </xf>
    <xf numFmtId="0" fontId="61" fillId="0" borderId="0" xfId="0" applyFont="1" applyBorder="1" applyAlignment="1">
      <alignment/>
    </xf>
    <xf numFmtId="0" fontId="60" fillId="0" borderId="0" xfId="0" applyFont="1" applyAlignment="1">
      <alignment/>
    </xf>
    <xf numFmtId="0" fontId="59" fillId="0" borderId="0" xfId="0" applyFont="1" applyAlignment="1">
      <alignment vertical="center"/>
    </xf>
    <xf numFmtId="0" fontId="59" fillId="0" borderId="0" xfId="0" applyFont="1" applyAlignment="1">
      <alignment horizontal="center" vertical="center"/>
    </xf>
    <xf numFmtId="0" fontId="63" fillId="0" borderId="0" xfId="0" applyFont="1" applyAlignment="1">
      <alignment horizontal="center" vertical="center" wrapText="1"/>
    </xf>
    <xf numFmtId="0" fontId="64" fillId="41" borderId="0" xfId="0" applyFont="1" applyFill="1" applyAlignment="1">
      <alignment vertical="center"/>
    </xf>
    <xf numFmtId="0" fontId="57" fillId="39" borderId="32" xfId="0" applyFont="1" applyFill="1" applyBorder="1" applyAlignment="1">
      <alignment vertical="center"/>
    </xf>
    <xf numFmtId="0" fontId="58" fillId="39" borderId="32" xfId="0" applyFont="1" applyFill="1" applyBorder="1" applyAlignment="1">
      <alignment vertical="center"/>
    </xf>
    <xf numFmtId="0" fontId="22" fillId="35" borderId="0" xfId="0" applyFont="1" applyFill="1" applyAlignment="1">
      <alignment vertical="center"/>
    </xf>
    <xf numFmtId="0" fontId="22" fillId="35" borderId="0" xfId="0" applyFont="1" applyFill="1" applyAlignment="1">
      <alignment horizontal="right" vertical="center"/>
    </xf>
    <xf numFmtId="0" fontId="48" fillId="35" borderId="0" xfId="0" applyFont="1" applyFill="1" applyAlignment="1">
      <alignment vertical="center"/>
    </xf>
    <xf numFmtId="0" fontId="48" fillId="41" borderId="0" xfId="0" applyFont="1" applyFill="1" applyAlignment="1" applyProtection="1">
      <alignment vertical="center"/>
      <protection locked="0"/>
    </xf>
    <xf numFmtId="0" fontId="48" fillId="41" borderId="0" xfId="0" applyFont="1" applyFill="1" applyAlignment="1">
      <alignment vertical="center"/>
    </xf>
    <xf numFmtId="0" fontId="67" fillId="41" borderId="0" xfId="0" applyFont="1" applyFill="1" applyAlignment="1" applyProtection="1">
      <alignment horizontal="left" vertical="center"/>
      <protection locked="0"/>
    </xf>
    <xf numFmtId="0" fontId="55" fillId="41" borderId="0" xfId="0" applyFont="1" applyFill="1" applyAlignment="1" applyProtection="1">
      <alignment horizontal="center" vertical="center"/>
      <protection locked="0"/>
    </xf>
    <xf numFmtId="0" fontId="48" fillId="33" borderId="11" xfId="0" applyFont="1" applyFill="1" applyBorder="1" applyAlignment="1">
      <alignment vertical="center"/>
    </xf>
    <xf numFmtId="0" fontId="68" fillId="41" borderId="0" xfId="0" applyFont="1" applyFill="1" applyAlignment="1" applyProtection="1">
      <alignment horizontal="center" vertical="center"/>
      <protection locked="0"/>
    </xf>
    <xf numFmtId="0" fontId="48" fillId="33" borderId="16" xfId="0" applyFont="1" applyFill="1" applyBorder="1" applyAlignment="1">
      <alignment vertical="center"/>
    </xf>
    <xf numFmtId="0" fontId="69" fillId="41" borderId="0" xfId="0" applyFont="1" applyFill="1" applyAlignment="1" applyProtection="1">
      <alignment horizontal="center" vertical="center"/>
      <protection locked="0"/>
    </xf>
    <xf numFmtId="0" fontId="48" fillId="41" borderId="31" xfId="0" applyFont="1" applyFill="1" applyBorder="1" applyAlignment="1" applyProtection="1">
      <alignment vertical="center"/>
      <protection locked="0"/>
    </xf>
    <xf numFmtId="0" fontId="48" fillId="41" borderId="58" xfId="0" applyFont="1" applyFill="1" applyBorder="1" applyAlignment="1" applyProtection="1">
      <alignment vertical="center"/>
      <protection locked="0"/>
    </xf>
    <xf numFmtId="0" fontId="48" fillId="41" borderId="32" xfId="0" applyFont="1" applyFill="1" applyBorder="1" applyAlignment="1" applyProtection="1">
      <alignment vertical="center"/>
      <protection locked="0"/>
    </xf>
    <xf numFmtId="0" fontId="48" fillId="41" borderId="34" xfId="0" applyFont="1" applyFill="1" applyBorder="1" applyAlignment="1" applyProtection="1">
      <alignment vertical="center"/>
      <protection locked="0"/>
    </xf>
    <xf numFmtId="0" fontId="55" fillId="41" borderId="0" xfId="0" applyFont="1" applyFill="1" applyAlignment="1" applyProtection="1">
      <alignment horizontal="left" vertical="center" wrapText="1"/>
      <protection locked="0"/>
    </xf>
    <xf numFmtId="0" fontId="48" fillId="41" borderId="33" xfId="0" applyFont="1" applyFill="1" applyBorder="1" applyAlignment="1" applyProtection="1">
      <alignment vertical="center"/>
      <protection locked="0"/>
    </xf>
    <xf numFmtId="0" fontId="48" fillId="41" borderId="35" xfId="0" applyFont="1" applyFill="1" applyBorder="1" applyAlignment="1" applyProtection="1">
      <alignment vertical="center"/>
      <protection locked="0"/>
    </xf>
    <xf numFmtId="0" fontId="55" fillId="41" borderId="0" xfId="0" applyFont="1" applyFill="1" applyBorder="1" applyAlignment="1" applyProtection="1">
      <alignment horizontal="left" vertical="center" wrapText="1"/>
      <protection locked="0"/>
    </xf>
    <xf numFmtId="0" fontId="48" fillId="41" borderId="0" xfId="0" applyFont="1" applyFill="1" applyBorder="1" applyAlignment="1" applyProtection="1">
      <alignment vertical="center"/>
      <protection locked="0"/>
    </xf>
    <xf numFmtId="0" fontId="55" fillId="41" borderId="0" xfId="0" applyFont="1" applyFill="1" applyAlignment="1">
      <alignment horizontal="left" vertical="center" wrapText="1"/>
    </xf>
    <xf numFmtId="14" fontId="55" fillId="41" borderId="0" xfId="0" applyNumberFormat="1" applyFont="1" applyFill="1" applyBorder="1" applyAlignment="1" applyProtection="1">
      <alignment horizontal="left" vertical="center"/>
      <protection locked="0"/>
    </xf>
    <xf numFmtId="0" fontId="55" fillId="41" borderId="0" xfId="0" applyFont="1" applyFill="1" applyBorder="1" applyAlignment="1" applyProtection="1">
      <alignment horizontal="center" vertical="center" wrapText="1"/>
      <protection locked="0"/>
    </xf>
    <xf numFmtId="1" fontId="55" fillId="41" borderId="0" xfId="0" applyNumberFormat="1" applyFont="1" applyFill="1" applyBorder="1" applyAlignment="1" applyProtection="1">
      <alignment horizontal="center" vertical="center" wrapText="1"/>
      <protection locked="0"/>
    </xf>
    <xf numFmtId="1" fontId="55" fillId="41" borderId="0" xfId="0" applyNumberFormat="1" applyFont="1" applyFill="1" applyBorder="1" applyAlignment="1" applyProtection="1">
      <alignment horizontal="center" vertical="center"/>
      <protection locked="0"/>
    </xf>
    <xf numFmtId="0" fontId="48" fillId="41" borderId="0" xfId="0" applyFont="1" applyFill="1" applyAlignment="1" applyProtection="1">
      <alignment horizontal="right" vertical="center"/>
      <protection locked="0"/>
    </xf>
    <xf numFmtId="0" fontId="55" fillId="41" borderId="0" xfId="0" applyFont="1" applyFill="1" applyAlignment="1" applyProtection="1">
      <alignment horizontal="right" vertical="center" wrapText="1"/>
      <protection locked="0"/>
    </xf>
    <xf numFmtId="0" fontId="25" fillId="0" borderId="58" xfId="0" applyFont="1" applyBorder="1" applyAlignment="1" applyProtection="1">
      <alignment horizontal="center"/>
      <protection hidden="1"/>
    </xf>
    <xf numFmtId="0" fontId="27" fillId="0" borderId="32" xfId="0" applyFont="1" applyBorder="1" applyAlignment="1" applyProtection="1">
      <alignment horizontal="center"/>
      <protection hidden="1"/>
    </xf>
    <xf numFmtId="41" fontId="24" fillId="0" borderId="34" xfId="0" applyNumberFormat="1" applyFont="1" applyBorder="1" applyAlignment="1" applyProtection="1">
      <alignment/>
      <protection hidden="1"/>
    </xf>
    <xf numFmtId="41" fontId="24" fillId="0" borderId="84" xfId="0" applyNumberFormat="1" applyFont="1" applyBorder="1" applyAlignment="1" applyProtection="1">
      <alignment/>
      <protection hidden="1"/>
    </xf>
    <xf numFmtId="41" fontId="27" fillId="0" borderId="34" xfId="0" applyNumberFormat="1" applyFont="1" applyBorder="1" applyAlignment="1" applyProtection="1">
      <alignment/>
      <protection hidden="1"/>
    </xf>
    <xf numFmtId="41" fontId="30" fillId="0" borderId="34" xfId="0" applyNumberFormat="1" applyFont="1" applyBorder="1" applyAlignment="1" applyProtection="1">
      <alignment/>
      <protection hidden="1"/>
    </xf>
    <xf numFmtId="41" fontId="27" fillId="0" borderId="84" xfId="0" applyNumberFormat="1" applyFont="1" applyBorder="1" applyAlignment="1" applyProtection="1">
      <alignment/>
      <protection hidden="1"/>
    </xf>
    <xf numFmtId="41" fontId="27" fillId="0" borderId="85" xfId="0" applyNumberFormat="1" applyFont="1" applyBorder="1" applyAlignment="1" applyProtection="1">
      <alignment/>
      <protection hidden="1"/>
    </xf>
    <xf numFmtId="41" fontId="24" fillId="0" borderId="86" xfId="0" applyNumberFormat="1" applyFont="1" applyBorder="1" applyAlignment="1" applyProtection="1">
      <alignment/>
      <protection hidden="1"/>
    </xf>
    <xf numFmtId="41" fontId="24" fillId="0" borderId="86" xfId="0" applyNumberFormat="1" applyFont="1" applyBorder="1" applyAlignment="1" applyProtection="1">
      <alignment horizontal="right"/>
      <protection hidden="1"/>
    </xf>
    <xf numFmtId="41" fontId="25" fillId="0" borderId="34" xfId="0" applyNumberFormat="1" applyFont="1" applyBorder="1" applyAlignment="1" applyProtection="1">
      <alignment/>
      <protection hidden="1"/>
    </xf>
    <xf numFmtId="3" fontId="30" fillId="0" borderId="87" xfId="0" applyNumberFormat="1" applyFont="1" applyBorder="1" applyAlignment="1" applyProtection="1">
      <alignment/>
      <protection hidden="1"/>
    </xf>
    <xf numFmtId="0" fontId="28" fillId="0" borderId="32" xfId="0" applyFont="1" applyBorder="1" applyAlignment="1">
      <alignment horizontal="center"/>
    </xf>
    <xf numFmtId="3" fontId="25" fillId="0" borderId="34" xfId="0" applyNumberFormat="1" applyFont="1" applyBorder="1" applyAlignment="1">
      <alignment/>
    </xf>
    <xf numFmtId="0" fontId="25" fillId="0" borderId="32" xfId="0" applyFont="1" applyBorder="1" applyAlignment="1">
      <alignment horizontal="left"/>
    </xf>
    <xf numFmtId="0" fontId="25" fillId="0" borderId="34" xfId="0" applyFont="1" applyBorder="1" applyAlignment="1">
      <alignment horizontal="center"/>
    </xf>
    <xf numFmtId="0" fontId="25" fillId="0" borderId="33" xfId="0" applyFont="1" applyBorder="1" applyAlignment="1">
      <alignment horizontal="left"/>
    </xf>
    <xf numFmtId="0" fontId="28" fillId="0" borderId="59" xfId="0" applyFont="1" applyBorder="1" applyAlignment="1">
      <alignment horizontal="left"/>
    </xf>
    <xf numFmtId="0" fontId="28" fillId="0" borderId="59" xfId="0" applyFont="1" applyBorder="1" applyAlignment="1">
      <alignment/>
    </xf>
    <xf numFmtId="0" fontId="24" fillId="0" borderId="59" xfId="0" applyFont="1" applyBorder="1" applyAlignment="1">
      <alignment horizontal="center"/>
    </xf>
    <xf numFmtId="3" fontId="24" fillId="0" borderId="59" xfId="0" applyNumberFormat="1" applyFont="1" applyBorder="1" applyAlignment="1">
      <alignment/>
    </xf>
    <xf numFmtId="3" fontId="25" fillId="0" borderId="35" xfId="0" applyNumberFormat="1" applyFont="1" applyBorder="1" applyAlignment="1">
      <alignment/>
    </xf>
    <xf numFmtId="0" fontId="25" fillId="0" borderId="33" xfId="0" applyFont="1" applyBorder="1" applyAlignment="1">
      <alignment horizontal="right"/>
    </xf>
    <xf numFmtId="0" fontId="48" fillId="41" borderId="0" xfId="0" applyFont="1" applyFill="1" applyAlignment="1" applyProtection="1">
      <alignment vertical="center"/>
      <protection locked="0"/>
    </xf>
    <xf numFmtId="0" fontId="127" fillId="41" borderId="19" xfId="0" applyFont="1" applyFill="1" applyBorder="1" applyAlignment="1" applyProtection="1">
      <alignment vertical="center"/>
      <protection locked="0"/>
    </xf>
    <xf numFmtId="0" fontId="127" fillId="41" borderId="0" xfId="0" applyFont="1" applyFill="1" applyAlignment="1" applyProtection="1">
      <alignment vertical="center"/>
      <protection locked="0"/>
    </xf>
    <xf numFmtId="0" fontId="127" fillId="41" borderId="0" xfId="0" applyFont="1" applyFill="1" applyAlignment="1" applyProtection="1">
      <alignment horizontal="right" vertical="center"/>
      <protection locked="0"/>
    </xf>
    <xf numFmtId="0" fontId="127" fillId="41" borderId="0" xfId="0" applyFont="1" applyFill="1" applyBorder="1" applyAlignment="1" applyProtection="1">
      <alignment vertical="center"/>
      <protection locked="0"/>
    </xf>
    <xf numFmtId="14" fontId="128" fillId="41" borderId="0" xfId="0" applyNumberFormat="1" applyFont="1" applyFill="1" applyBorder="1" applyAlignment="1" applyProtection="1">
      <alignment horizontal="left" vertical="center"/>
      <protection locked="0"/>
    </xf>
    <xf numFmtId="0" fontId="128" fillId="41" borderId="0" xfId="0" applyFont="1" applyFill="1" applyBorder="1" applyAlignment="1" applyProtection="1">
      <alignment horizontal="center" vertical="center" wrapText="1"/>
      <protection locked="0"/>
    </xf>
    <xf numFmtId="1" fontId="128" fillId="41" borderId="0" xfId="0" applyNumberFormat="1" applyFont="1" applyFill="1" applyBorder="1" applyAlignment="1" applyProtection="1">
      <alignment horizontal="center" vertical="center" wrapText="1"/>
      <protection locked="0"/>
    </xf>
    <xf numFmtId="1" fontId="128" fillId="41" borderId="0" xfId="0" applyNumberFormat="1" applyFont="1" applyFill="1" applyBorder="1" applyAlignment="1" applyProtection="1">
      <alignment horizontal="center" vertical="center"/>
      <protection locked="0"/>
    </xf>
    <xf numFmtId="0" fontId="127" fillId="41" borderId="0" xfId="0" applyFont="1" applyFill="1" applyAlignment="1">
      <alignment vertical="center"/>
    </xf>
    <xf numFmtId="0" fontId="128" fillId="41" borderId="19" xfId="0" applyFont="1" applyFill="1" applyBorder="1" applyAlignment="1" applyProtection="1">
      <alignment horizontal="left" vertical="center" wrapText="1"/>
      <protection locked="0"/>
    </xf>
    <xf numFmtId="0" fontId="127" fillId="41" borderId="19" xfId="0" applyFont="1" applyFill="1" applyBorder="1" applyAlignment="1" applyProtection="1">
      <alignment horizontal="center" vertical="center"/>
      <protection locked="0"/>
    </xf>
    <xf numFmtId="0" fontId="127" fillId="41" borderId="19" xfId="0" applyFont="1" applyFill="1" applyBorder="1" applyAlignment="1" applyProtection="1">
      <alignment horizontal="right" vertical="center"/>
      <protection locked="0"/>
    </xf>
    <xf numFmtId="0" fontId="129" fillId="41" borderId="0" xfId="0" applyFont="1" applyFill="1" applyBorder="1" applyAlignment="1" applyProtection="1">
      <alignment horizontal="center" vertical="center"/>
      <protection locked="0"/>
    </xf>
    <xf numFmtId="0" fontId="129" fillId="41" borderId="0" xfId="0" applyFont="1" applyFill="1" applyBorder="1" applyAlignment="1" applyProtection="1">
      <alignment horizontal="left" vertical="center"/>
      <protection locked="0"/>
    </xf>
    <xf numFmtId="0" fontId="127" fillId="41" borderId="0" xfId="0" applyFont="1" applyFill="1" applyBorder="1" applyAlignment="1" applyProtection="1">
      <alignment horizontal="center" vertical="center"/>
      <protection locked="0"/>
    </xf>
    <xf numFmtId="0" fontId="127" fillId="41" borderId="0" xfId="0" applyFont="1" applyFill="1" applyBorder="1" applyAlignment="1" applyProtection="1">
      <alignment horizontal="right" vertical="center"/>
      <protection locked="0"/>
    </xf>
    <xf numFmtId="0" fontId="127" fillId="41" borderId="31" xfId="0" applyFont="1" applyFill="1" applyBorder="1" applyAlignment="1" applyProtection="1">
      <alignment vertical="center"/>
      <protection locked="0"/>
    </xf>
    <xf numFmtId="0" fontId="127" fillId="41" borderId="27" xfId="0" applyFont="1" applyFill="1" applyBorder="1" applyAlignment="1" applyProtection="1">
      <alignment vertical="center"/>
      <protection locked="0"/>
    </xf>
    <xf numFmtId="0" fontId="127" fillId="41" borderId="58" xfId="0" applyFont="1" applyFill="1" applyBorder="1" applyAlignment="1" applyProtection="1">
      <alignment vertical="center"/>
      <protection locked="0"/>
    </xf>
    <xf numFmtId="0" fontId="127" fillId="41" borderId="32" xfId="0" applyFont="1" applyFill="1" applyBorder="1" applyAlignment="1" applyProtection="1">
      <alignment vertical="center"/>
      <protection locked="0"/>
    </xf>
    <xf numFmtId="0" fontId="127" fillId="41" borderId="34" xfId="0" applyFont="1" applyFill="1" applyBorder="1" applyAlignment="1" applyProtection="1">
      <alignment vertical="center"/>
      <protection locked="0"/>
    </xf>
    <xf numFmtId="0" fontId="127" fillId="41" borderId="33" xfId="0" applyFont="1" applyFill="1" applyBorder="1" applyAlignment="1" applyProtection="1">
      <alignment vertical="center"/>
      <protection locked="0"/>
    </xf>
    <xf numFmtId="0" fontId="127" fillId="41" borderId="59" xfId="0" applyFont="1" applyFill="1" applyBorder="1" applyAlignment="1" applyProtection="1">
      <alignment vertical="center"/>
      <protection locked="0"/>
    </xf>
    <xf numFmtId="0" fontId="127" fillId="41" borderId="15" xfId="0" applyFont="1" applyFill="1" applyBorder="1" applyAlignment="1" applyProtection="1">
      <alignment vertical="center"/>
      <protection locked="0"/>
    </xf>
    <xf numFmtId="0" fontId="127" fillId="41" borderId="88" xfId="0" applyFont="1" applyFill="1" applyBorder="1" applyAlignment="1" applyProtection="1">
      <alignment vertical="center"/>
      <protection locked="0"/>
    </xf>
    <xf numFmtId="0" fontId="130" fillId="41" borderId="27" xfId="0" applyFont="1" applyFill="1" applyBorder="1" applyAlignment="1" applyProtection="1">
      <alignment horizontal="left" vertical="center"/>
      <protection locked="0"/>
    </xf>
    <xf numFmtId="1" fontId="127" fillId="41" borderId="58" xfId="0" applyNumberFormat="1" applyFont="1" applyFill="1" applyBorder="1" applyAlignment="1" applyProtection="1">
      <alignment vertical="center"/>
      <protection locked="0"/>
    </xf>
    <xf numFmtId="0" fontId="130" fillId="41" borderId="0" xfId="0" applyFont="1" applyFill="1" applyBorder="1" applyAlignment="1" applyProtection="1">
      <alignment horizontal="left" vertical="center"/>
      <protection locked="0"/>
    </xf>
    <xf numFmtId="1" fontId="130" fillId="41" borderId="0" xfId="0" applyNumberFormat="1" applyFont="1" applyFill="1" applyBorder="1" applyAlignment="1" applyProtection="1">
      <alignment horizontal="left" vertical="center"/>
      <protection locked="0"/>
    </xf>
    <xf numFmtId="0" fontId="130" fillId="41" borderId="59" xfId="0" applyFont="1" applyFill="1" applyBorder="1" applyAlignment="1" applyProtection="1">
      <alignment horizontal="left" vertical="center"/>
      <protection locked="0"/>
    </xf>
    <xf numFmtId="1" fontId="130" fillId="41" borderId="59" xfId="0" applyNumberFormat="1" applyFont="1" applyFill="1" applyBorder="1" applyAlignment="1" applyProtection="1">
      <alignment horizontal="left" vertical="center"/>
      <protection locked="0"/>
    </xf>
    <xf numFmtId="0" fontId="127" fillId="41" borderId="35" xfId="0" applyFont="1" applyFill="1" applyBorder="1" applyAlignment="1" applyProtection="1">
      <alignment vertical="center"/>
      <protection locked="0"/>
    </xf>
    <xf numFmtId="0" fontId="131" fillId="41" borderId="27" xfId="0" applyFont="1" applyFill="1" applyBorder="1" applyAlignment="1" applyProtection="1">
      <alignment horizontal="left" vertical="center"/>
      <protection locked="0"/>
    </xf>
    <xf numFmtId="1" fontId="130" fillId="41" borderId="27" xfId="0" applyNumberFormat="1" applyFont="1" applyFill="1" applyBorder="1" applyAlignment="1" applyProtection="1">
      <alignment horizontal="left" vertical="center"/>
      <protection locked="0"/>
    </xf>
    <xf numFmtId="0" fontId="132" fillId="41" borderId="19" xfId="0" applyFont="1" applyFill="1" applyBorder="1" applyAlignment="1" applyProtection="1">
      <alignment horizontal="center" vertical="center" wrapText="1"/>
      <protection locked="0"/>
    </xf>
    <xf numFmtId="49" fontId="127" fillId="41" borderId="0" xfId="0" applyNumberFormat="1" applyFont="1" applyFill="1" applyAlignment="1" applyProtection="1">
      <alignment vertical="center"/>
      <protection locked="0"/>
    </xf>
    <xf numFmtId="1" fontId="127" fillId="41" borderId="34" xfId="0" applyNumberFormat="1" applyFont="1" applyFill="1" applyBorder="1" applyAlignment="1" applyProtection="1">
      <alignment vertical="center"/>
      <protection locked="0"/>
    </xf>
    <xf numFmtId="1" fontId="127" fillId="41" borderId="35" xfId="0" applyNumberFormat="1" applyFont="1" applyFill="1" applyBorder="1" applyAlignment="1" applyProtection="1">
      <alignment vertical="center"/>
      <protection locked="0"/>
    </xf>
    <xf numFmtId="0" fontId="127" fillId="41" borderId="0" xfId="0" applyFont="1" applyFill="1" applyAlignment="1" applyProtection="1">
      <alignment horizontal="left" vertical="center"/>
      <protection locked="0"/>
    </xf>
    <xf numFmtId="0" fontId="133" fillId="41" borderId="0" xfId="0" applyFont="1" applyFill="1" applyAlignment="1" applyProtection="1">
      <alignment vertical="center"/>
      <protection locked="0"/>
    </xf>
    <xf numFmtId="0" fontId="127" fillId="41" borderId="0" xfId="0" applyFont="1" applyFill="1" applyAlignment="1" applyProtection="1">
      <alignment horizontal="center" vertical="center"/>
      <protection locked="0"/>
    </xf>
    <xf numFmtId="0" fontId="134" fillId="41" borderId="0" xfId="0" applyFont="1" applyFill="1" applyAlignment="1" applyProtection="1">
      <alignment vertical="center"/>
      <protection locked="0"/>
    </xf>
    <xf numFmtId="0" fontId="135" fillId="41" borderId="0" xfId="0" applyFont="1" applyFill="1" applyAlignment="1" applyProtection="1">
      <alignment vertical="center"/>
      <protection locked="0"/>
    </xf>
    <xf numFmtId="0" fontId="136" fillId="41" borderId="0" xfId="0" applyFont="1" applyFill="1" applyAlignment="1" applyProtection="1">
      <alignment vertical="center"/>
      <protection locked="0"/>
    </xf>
    <xf numFmtId="0" fontId="137" fillId="41" borderId="0" xfId="0" applyFont="1" applyFill="1" applyBorder="1" applyAlignment="1" applyProtection="1">
      <alignment/>
      <protection locked="0"/>
    </xf>
    <xf numFmtId="0" fontId="132" fillId="41" borderId="0" xfId="0" applyFont="1" applyFill="1" applyAlignment="1" applyProtection="1">
      <alignment horizontal="center"/>
      <protection locked="0"/>
    </xf>
    <xf numFmtId="0" fontId="127" fillId="41" borderId="31" xfId="0" applyFont="1" applyFill="1" applyBorder="1" applyAlignment="1" applyProtection="1">
      <alignment horizontal="center" vertical="center"/>
      <protection locked="0"/>
    </xf>
    <xf numFmtId="0" fontId="138" fillId="41" borderId="89" xfId="0" applyFont="1" applyFill="1" applyBorder="1" applyAlignment="1" applyProtection="1">
      <alignment horizontal="center" vertical="center"/>
      <protection locked="0"/>
    </xf>
    <xf numFmtId="0" fontId="138" fillId="41" borderId="90" xfId="0" applyFont="1" applyFill="1" applyBorder="1" applyAlignment="1" applyProtection="1">
      <alignment horizontal="center" vertical="center"/>
      <protection locked="0"/>
    </xf>
    <xf numFmtId="0" fontId="138" fillId="41" borderId="91" xfId="0" applyFont="1" applyFill="1" applyBorder="1" applyAlignment="1" applyProtection="1">
      <alignment horizontal="center" vertical="center"/>
      <protection locked="0"/>
    </xf>
    <xf numFmtId="0" fontId="138" fillId="41" borderId="84" xfId="0" applyFont="1" applyFill="1" applyBorder="1" applyAlignment="1" applyProtection="1">
      <alignment horizontal="center" vertical="center"/>
      <protection locked="0"/>
    </xf>
    <xf numFmtId="0" fontId="127" fillId="41" borderId="17" xfId="0" applyFont="1" applyFill="1" applyBorder="1" applyAlignment="1" applyProtection="1">
      <alignment vertical="center"/>
      <protection locked="0"/>
    </xf>
    <xf numFmtId="0" fontId="127" fillId="41" borderId="13" xfId="0" applyFont="1" applyFill="1" applyBorder="1" applyAlignment="1" applyProtection="1">
      <alignment vertical="center"/>
      <protection locked="0"/>
    </xf>
    <xf numFmtId="49" fontId="135" fillId="41" borderId="34" xfId="0" applyNumberFormat="1" applyFont="1" applyFill="1" applyBorder="1" applyAlignment="1" applyProtection="1">
      <alignment vertical="center"/>
      <protection locked="0"/>
    </xf>
    <xf numFmtId="0" fontId="127" fillId="41" borderId="81" xfId="0" applyFont="1" applyFill="1" applyBorder="1" applyAlignment="1" applyProtection="1">
      <alignment vertical="center"/>
      <protection locked="0"/>
    </xf>
    <xf numFmtId="0" fontId="127" fillId="41" borderId="13" xfId="0" applyFont="1" applyFill="1" applyBorder="1" applyAlignment="1" applyProtection="1">
      <alignment horizontal="left" vertical="center"/>
      <protection locked="0"/>
    </xf>
    <xf numFmtId="0" fontId="13" fillId="0" borderId="36" xfId="0" applyFont="1" applyBorder="1" applyAlignment="1">
      <alignment horizontal="left" vertical="center"/>
    </xf>
    <xf numFmtId="0" fontId="132" fillId="0" borderId="0" xfId="0" applyFont="1" applyAlignment="1">
      <alignment/>
    </xf>
    <xf numFmtId="0" fontId="132" fillId="0" borderId="0" xfId="0" applyFont="1" applyBorder="1" applyAlignment="1">
      <alignment horizontal="center"/>
    </xf>
    <xf numFmtId="0" fontId="139" fillId="0" borderId="0" xfId="0" applyFont="1" applyBorder="1" applyAlignment="1">
      <alignment horizontal="center" vertical="top"/>
    </xf>
    <xf numFmtId="0" fontId="132" fillId="0" borderId="0" xfId="0" applyFont="1" applyBorder="1" applyAlignment="1">
      <alignment horizontal="left" vertical="center"/>
    </xf>
    <xf numFmtId="0" fontId="137" fillId="0" borderId="0" xfId="0" applyFont="1" applyBorder="1" applyAlignment="1">
      <alignment horizontal="center"/>
    </xf>
    <xf numFmtId="3" fontId="140" fillId="0" borderId="0" xfId="0" applyNumberFormat="1" applyFont="1" applyBorder="1" applyAlignment="1">
      <alignment/>
    </xf>
    <xf numFmtId="3" fontId="137" fillId="0" borderId="0" xfId="0" applyNumberFormat="1" applyFont="1" applyBorder="1" applyAlignment="1">
      <alignment/>
    </xf>
    <xf numFmtId="3" fontId="137" fillId="0" borderId="0" xfId="0" applyNumberFormat="1" applyFont="1" applyBorder="1" applyAlignment="1">
      <alignment horizontal="right" vertical="center"/>
    </xf>
    <xf numFmtId="3" fontId="140" fillId="0" borderId="0" xfId="0" applyNumberFormat="1" applyFont="1" applyBorder="1" applyAlignment="1">
      <alignment horizontal="right"/>
    </xf>
    <xf numFmtId="0" fontId="137" fillId="0" borderId="0" xfId="0" applyFont="1" applyBorder="1" applyAlignment="1">
      <alignment/>
    </xf>
    <xf numFmtId="41" fontId="132" fillId="0" borderId="0" xfId="0" applyNumberFormat="1" applyFont="1" applyAlignment="1">
      <alignment/>
    </xf>
    <xf numFmtId="0" fontId="140" fillId="0" borderId="0" xfId="0" applyFont="1" applyBorder="1" applyAlignment="1">
      <alignment horizontal="center"/>
    </xf>
    <xf numFmtId="0" fontId="132" fillId="0" borderId="0" xfId="0" applyFont="1" applyBorder="1" applyAlignment="1">
      <alignment/>
    </xf>
    <xf numFmtId="3" fontId="132" fillId="0" borderId="0" xfId="0" applyNumberFormat="1" applyFont="1" applyBorder="1" applyAlignment="1">
      <alignment/>
    </xf>
    <xf numFmtId="3" fontId="141" fillId="0" borderId="0" xfId="0" applyNumberFormat="1" applyFont="1" applyBorder="1" applyAlignment="1">
      <alignment/>
    </xf>
    <xf numFmtId="0" fontId="141" fillId="0" borderId="0" xfId="0" applyFont="1" applyBorder="1" applyAlignment="1">
      <alignment/>
    </xf>
    <xf numFmtId="41" fontId="137" fillId="0" borderId="0" xfId="0" applyNumberFormat="1" applyFont="1" applyBorder="1" applyAlignment="1">
      <alignment/>
    </xf>
    <xf numFmtId="0" fontId="27" fillId="0" borderId="32" xfId="0" applyFont="1" applyBorder="1" applyAlignment="1" applyProtection="1">
      <alignment horizontal="center" vertical="center"/>
      <protection hidden="1"/>
    </xf>
    <xf numFmtId="41" fontId="27" fillId="0" borderId="86" xfId="0" applyNumberFormat="1" applyFont="1" applyBorder="1" applyAlignment="1" applyProtection="1">
      <alignment vertical="center"/>
      <protection hidden="1"/>
    </xf>
    <xf numFmtId="41" fontId="142" fillId="0" borderId="49" xfId="0" applyNumberFormat="1" applyFont="1" applyBorder="1" applyAlignment="1" applyProtection="1">
      <alignment/>
      <protection hidden="1"/>
    </xf>
    <xf numFmtId="0" fontId="27" fillId="0" borderId="92" xfId="0" applyFont="1" applyBorder="1" applyAlignment="1" applyProtection="1">
      <alignment horizontal="center"/>
      <protection hidden="1"/>
    </xf>
    <xf numFmtId="0" fontId="3" fillId="38" borderId="81" xfId="0" applyFont="1" applyFill="1" applyBorder="1" applyAlignment="1">
      <alignment horizontal="left" vertical="center" indent="10"/>
    </xf>
    <xf numFmtId="0" fontId="3" fillId="38" borderId="13" xfId="0" applyFont="1" applyFill="1" applyBorder="1" applyAlignment="1">
      <alignment horizontal="left" vertical="center" indent="10"/>
    </xf>
    <xf numFmtId="0" fontId="127" fillId="41" borderId="0" xfId="0" applyFont="1" applyFill="1" applyAlignment="1" applyProtection="1">
      <alignment horizontal="left" vertical="center" indent="10"/>
      <protection locked="0"/>
    </xf>
    <xf numFmtId="0" fontId="127" fillId="41" borderId="31" xfId="0" applyFont="1" applyFill="1" applyBorder="1" applyAlignment="1" applyProtection="1">
      <alignment horizontal="left" vertical="center" indent="10"/>
      <protection locked="0"/>
    </xf>
    <xf numFmtId="0" fontId="127" fillId="41" borderId="32" xfId="0" applyFont="1" applyFill="1" applyBorder="1" applyAlignment="1" applyProtection="1">
      <alignment horizontal="left" vertical="center" indent="10"/>
      <protection locked="0"/>
    </xf>
    <xf numFmtId="0" fontId="127" fillId="41" borderId="33" xfId="0" applyFont="1" applyFill="1" applyBorder="1" applyAlignment="1" applyProtection="1">
      <alignment horizontal="left" vertical="center" indent="10"/>
      <protection locked="0"/>
    </xf>
    <xf numFmtId="181" fontId="135" fillId="41" borderId="0" xfId="0" applyNumberFormat="1" applyFont="1" applyFill="1" applyAlignment="1" applyProtection="1">
      <alignment horizontal="left" vertical="center" indent="10"/>
      <protection locked="0"/>
    </xf>
    <xf numFmtId="0" fontId="127" fillId="41" borderId="0" xfId="0" applyFont="1" applyFill="1" applyAlignment="1">
      <alignment horizontal="left" vertical="center" indent="10"/>
    </xf>
    <xf numFmtId="0" fontId="64" fillId="41" borderId="0" xfId="0" applyFont="1" applyFill="1" applyAlignment="1">
      <alignment horizontal="left" vertical="center" indent="10"/>
    </xf>
    <xf numFmtId="0" fontId="72" fillId="42" borderId="32" xfId="0" applyFont="1" applyFill="1" applyBorder="1" applyAlignment="1" applyProtection="1">
      <alignment vertical="center" wrapText="1"/>
      <protection locked="0"/>
    </xf>
    <xf numFmtId="0" fontId="72" fillId="42" borderId="0" xfId="0" applyFont="1" applyFill="1" applyBorder="1" applyAlignment="1" applyProtection="1">
      <alignment vertical="center" wrapText="1"/>
      <protection locked="0"/>
    </xf>
    <xf numFmtId="1" fontId="127" fillId="41" borderId="0" xfId="0" applyNumberFormat="1" applyFont="1" applyFill="1" applyAlignment="1" applyProtection="1">
      <alignment horizontal="left" vertical="center" indent="10"/>
      <protection locked="0"/>
    </xf>
    <xf numFmtId="0" fontId="13" fillId="0" borderId="19" xfId="0" applyFont="1" applyBorder="1" applyAlignment="1" applyProtection="1">
      <alignment horizontal="center" vertical="center"/>
      <protection/>
    </xf>
    <xf numFmtId="1" fontId="25" fillId="0" borderId="0" xfId="0" applyNumberFormat="1" applyFont="1" applyBorder="1" applyAlignment="1" applyProtection="1">
      <alignment horizontal="left" indent="2"/>
      <protection hidden="1"/>
    </xf>
    <xf numFmtId="0" fontId="25" fillId="0" borderId="0" xfId="0" applyFont="1" applyBorder="1" applyAlignment="1" applyProtection="1">
      <alignment horizontal="left" indent="2"/>
      <protection hidden="1"/>
    </xf>
    <xf numFmtId="0" fontId="3" fillId="43" borderId="11" xfId="0" applyFont="1" applyFill="1" applyBorder="1" applyAlignment="1" applyProtection="1">
      <alignment vertical="center"/>
      <protection locked="0"/>
    </xf>
    <xf numFmtId="0" fontId="48" fillId="43" borderId="11" xfId="0" applyFont="1" applyFill="1" applyBorder="1" applyAlignment="1" applyProtection="1">
      <alignment vertical="center"/>
      <protection locked="0"/>
    </xf>
    <xf numFmtId="0" fontId="3" fillId="43" borderId="11" xfId="0" applyFont="1" applyFill="1" applyBorder="1" applyAlignment="1" applyProtection="1">
      <alignment horizontal="center" vertical="center"/>
      <protection locked="0"/>
    </xf>
    <xf numFmtId="0" fontId="3" fillId="43" borderId="11" xfId="0" applyFont="1" applyFill="1" applyBorder="1" applyAlignment="1" applyProtection="1">
      <alignment horizontal="right" vertical="center"/>
      <protection locked="0"/>
    </xf>
    <xf numFmtId="0" fontId="48" fillId="43" borderId="15" xfId="0" applyFont="1" applyFill="1" applyBorder="1" applyAlignment="1" applyProtection="1">
      <alignment vertical="center"/>
      <protection locked="0"/>
    </xf>
    <xf numFmtId="0" fontId="143" fillId="43" borderId="11" xfId="0" applyFont="1" applyFill="1" applyBorder="1" applyAlignment="1" applyProtection="1">
      <alignment vertical="center"/>
      <protection locked="0"/>
    </xf>
    <xf numFmtId="0" fontId="143" fillId="43" borderId="15" xfId="0" applyFont="1" applyFill="1" applyBorder="1" applyAlignment="1" applyProtection="1">
      <alignment vertical="center"/>
      <protection locked="0"/>
    </xf>
    <xf numFmtId="0" fontId="144" fillId="38" borderId="17" xfId="0" applyFont="1" applyFill="1" applyBorder="1" applyAlignment="1">
      <alignment horizontal="left" vertical="center" indent="4"/>
    </xf>
    <xf numFmtId="0" fontId="3" fillId="12" borderId="11" xfId="0" applyFont="1" applyFill="1" applyBorder="1" applyAlignment="1" applyProtection="1">
      <alignment horizontal="center" vertical="center"/>
      <protection locked="0"/>
    </xf>
    <xf numFmtId="0" fontId="3" fillId="44"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3" fillId="33" borderId="13" xfId="0" applyFont="1" applyFill="1" applyBorder="1" applyAlignment="1">
      <alignment vertical="center" wrapText="1"/>
    </xf>
    <xf numFmtId="0" fontId="3" fillId="33"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135" fillId="41" borderId="0" xfId="0" applyFont="1" applyFill="1" applyAlignment="1" applyProtection="1">
      <alignment horizontal="left" vertical="center" indent="10"/>
      <protection locked="0"/>
    </xf>
    <xf numFmtId="0" fontId="135" fillId="41" borderId="17" xfId="0" applyFont="1" applyFill="1" applyBorder="1" applyAlignment="1" applyProtection="1">
      <alignment vertical="center"/>
      <protection locked="0"/>
    </xf>
    <xf numFmtId="0" fontId="135" fillId="41" borderId="13" xfId="0" applyFont="1" applyFill="1" applyBorder="1" applyAlignment="1" applyProtection="1">
      <alignment vertical="center"/>
      <protection locked="0"/>
    </xf>
    <xf numFmtId="0" fontId="135" fillId="41" borderId="58" xfId="0" applyFont="1" applyFill="1" applyBorder="1" applyAlignment="1" applyProtection="1">
      <alignment vertical="center"/>
      <protection locked="0"/>
    </xf>
    <xf numFmtId="0" fontId="135" fillId="41" borderId="32" xfId="0" applyFont="1" applyFill="1" applyBorder="1" applyAlignment="1" applyProtection="1">
      <alignment vertical="center"/>
      <protection locked="0"/>
    </xf>
    <xf numFmtId="0" fontId="135" fillId="41" borderId="0" xfId="0" applyFont="1" applyFill="1" applyBorder="1" applyAlignment="1" applyProtection="1">
      <alignment vertical="center"/>
      <protection locked="0"/>
    </xf>
    <xf numFmtId="0" fontId="145" fillId="41" borderId="90" xfId="0" applyFont="1" applyFill="1" applyBorder="1" applyAlignment="1" applyProtection="1">
      <alignment horizontal="center" vertical="center"/>
      <protection locked="0"/>
    </xf>
    <xf numFmtId="0" fontId="135" fillId="41" borderId="0" xfId="0" applyFont="1" applyFill="1" applyAlignment="1">
      <alignment vertical="center"/>
    </xf>
    <xf numFmtId="0" fontId="135" fillId="41" borderId="34" xfId="0" applyFont="1" applyFill="1" applyBorder="1" applyAlignment="1" applyProtection="1">
      <alignment vertical="center"/>
      <protection locked="0"/>
    </xf>
    <xf numFmtId="0" fontId="135" fillId="41" borderId="33" xfId="0" applyFont="1" applyFill="1" applyBorder="1" applyAlignment="1" applyProtection="1">
      <alignment vertical="center"/>
      <protection locked="0"/>
    </xf>
    <xf numFmtId="0" fontId="135" fillId="41" borderId="59" xfId="0" applyFont="1" applyFill="1" applyBorder="1" applyAlignment="1" applyProtection="1">
      <alignment vertical="center"/>
      <protection locked="0"/>
    </xf>
    <xf numFmtId="0" fontId="135" fillId="41" borderId="35" xfId="0" applyFont="1" applyFill="1" applyBorder="1" applyAlignment="1" applyProtection="1">
      <alignment vertical="center"/>
      <protection locked="0"/>
    </xf>
    <xf numFmtId="0" fontId="145" fillId="41" borderId="91" xfId="0" applyFont="1" applyFill="1" applyBorder="1" applyAlignment="1" applyProtection="1">
      <alignment horizontal="center" vertical="center"/>
      <protection locked="0"/>
    </xf>
    <xf numFmtId="0" fontId="7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28" fillId="0" borderId="0" xfId="0" applyFont="1" applyBorder="1" applyAlignment="1">
      <alignment horizontal="center" vertical="center"/>
    </xf>
    <xf numFmtId="0" fontId="14" fillId="0" borderId="0" xfId="0" applyFont="1" applyBorder="1" applyAlignment="1">
      <alignment horizontal="center" vertical="center"/>
    </xf>
    <xf numFmtId="0" fontId="29" fillId="0" borderId="0" xfId="0" applyFont="1" applyBorder="1" applyAlignment="1">
      <alignment horizontal="center" vertical="center"/>
    </xf>
    <xf numFmtId="0" fontId="24" fillId="0" borderId="0" xfId="0" applyFont="1" applyBorder="1" applyAlignment="1">
      <alignment horizontal="center" vertical="center"/>
    </xf>
    <xf numFmtId="0" fontId="30" fillId="0" borderId="0" xfId="0" applyFont="1" applyBorder="1" applyAlignment="1">
      <alignment horizontal="center" vertical="center"/>
    </xf>
    <xf numFmtId="0" fontId="27" fillId="0" borderId="0" xfId="0" applyFont="1" applyBorder="1" applyAlignment="1">
      <alignment vertical="center"/>
    </xf>
    <xf numFmtId="3" fontId="28" fillId="0" borderId="0" xfId="0" applyNumberFormat="1" applyFont="1" applyBorder="1" applyAlignment="1">
      <alignment vertical="center"/>
    </xf>
    <xf numFmtId="3" fontId="25" fillId="0" borderId="0" xfId="0" applyNumberFormat="1" applyFont="1" applyBorder="1" applyAlignment="1">
      <alignment vertical="center"/>
    </xf>
    <xf numFmtId="0" fontId="28" fillId="0" borderId="0" xfId="0" applyFont="1" applyBorder="1" applyAlignment="1">
      <alignment vertical="center"/>
    </xf>
    <xf numFmtId="3" fontId="24" fillId="0" borderId="0" xfId="0" applyNumberFormat="1" applyFont="1" applyAlignment="1">
      <alignment/>
    </xf>
    <xf numFmtId="1" fontId="14" fillId="0" borderId="0" xfId="0" applyNumberFormat="1" applyFont="1" applyBorder="1" applyAlignment="1">
      <alignment/>
    </xf>
    <xf numFmtId="41" fontId="24" fillId="0" borderId="0" xfId="0" applyNumberFormat="1" applyFont="1" applyBorder="1" applyAlignment="1">
      <alignment vertical="center"/>
    </xf>
    <xf numFmtId="41" fontId="14" fillId="0" borderId="0" xfId="0" applyNumberFormat="1" applyFont="1" applyAlignment="1">
      <alignment/>
    </xf>
    <xf numFmtId="41" fontId="24" fillId="0" borderId="0" xfId="0" applyNumberFormat="1" applyFont="1" applyBorder="1" applyAlignment="1">
      <alignment/>
    </xf>
    <xf numFmtId="3" fontId="24" fillId="0" borderId="0" xfId="0" applyNumberFormat="1" applyFont="1" applyBorder="1" applyAlignment="1">
      <alignment horizontal="right"/>
    </xf>
    <xf numFmtId="0" fontId="31" fillId="0" borderId="0" xfId="0" applyFont="1" applyBorder="1" applyAlignment="1">
      <alignment horizontal="left"/>
    </xf>
    <xf numFmtId="0" fontId="30" fillId="0" borderId="0" xfId="0" applyFont="1" applyBorder="1" applyAlignment="1">
      <alignment horizontal="center"/>
    </xf>
    <xf numFmtId="0" fontId="14" fillId="0" borderId="0" xfId="0" applyFont="1" applyAlignment="1">
      <alignment horizontal="center"/>
    </xf>
    <xf numFmtId="0" fontId="76" fillId="0" borderId="19" xfId="0" applyFont="1" applyBorder="1" applyAlignment="1">
      <alignment horizontal="center" vertical="center" wrapText="1"/>
    </xf>
    <xf numFmtId="1" fontId="127" fillId="41" borderId="27" xfId="0" applyNumberFormat="1" applyFont="1" applyFill="1" applyBorder="1" applyAlignment="1" applyProtection="1">
      <alignment vertical="center"/>
      <protection locked="0"/>
    </xf>
    <xf numFmtId="0" fontId="72" fillId="45" borderId="32" xfId="0" applyFont="1" applyFill="1" applyBorder="1" applyAlignment="1" applyProtection="1">
      <alignment horizontal="center" vertical="center" wrapText="1"/>
      <protection locked="0"/>
    </xf>
    <xf numFmtId="0" fontId="72" fillId="45" borderId="0" xfId="0" applyFont="1" applyFill="1" applyBorder="1" applyAlignment="1" applyProtection="1">
      <alignment horizontal="center" vertical="center" wrapText="1"/>
      <protection locked="0"/>
    </xf>
    <xf numFmtId="0" fontId="0" fillId="34" borderId="0" xfId="0" applyFill="1" applyAlignment="1">
      <alignment horizontal="left" vertical="center" wrapText="1"/>
    </xf>
    <xf numFmtId="0" fontId="44" fillId="33" borderId="19" xfId="0" applyFont="1" applyFill="1" applyBorder="1" applyAlignment="1">
      <alignment horizontal="left" vertical="center" wrapText="1"/>
    </xf>
    <xf numFmtId="0" fontId="40" fillId="33" borderId="77" xfId="0" applyFont="1" applyFill="1" applyBorder="1" applyAlignment="1">
      <alignment horizontal="left" vertical="center" wrapText="1"/>
    </xf>
    <xf numFmtId="0" fontId="40" fillId="33" borderId="16" xfId="0" applyFont="1" applyFill="1" applyBorder="1" applyAlignment="1">
      <alignment horizontal="left" vertical="center" wrapText="1"/>
    </xf>
    <xf numFmtId="0" fontId="40" fillId="33" borderId="28" xfId="0" applyFont="1" applyFill="1" applyBorder="1" applyAlignment="1">
      <alignment horizontal="left" vertical="center" wrapText="1"/>
    </xf>
    <xf numFmtId="0" fontId="40" fillId="33" borderId="18" xfId="0" applyFont="1" applyFill="1" applyBorder="1" applyAlignment="1">
      <alignment horizontal="left" vertical="center" wrapText="1"/>
    </xf>
    <xf numFmtId="0" fontId="41" fillId="34" borderId="0" xfId="0" applyFont="1" applyFill="1" applyAlignment="1">
      <alignment horizontal="left" vertical="center"/>
    </xf>
    <xf numFmtId="0" fontId="42" fillId="34" borderId="0" xfId="0" applyFont="1" applyFill="1" applyAlignment="1">
      <alignment horizontal="left" vertical="center" wrapText="1"/>
    </xf>
    <xf numFmtId="0" fontId="3" fillId="43" borderId="17" xfId="0" applyFont="1" applyFill="1" applyBorder="1" applyAlignment="1" applyProtection="1">
      <alignment horizontal="center" vertical="center"/>
      <protection locked="0"/>
    </xf>
    <xf numFmtId="0" fontId="3" fillId="43" borderId="13" xfId="0" applyFont="1" applyFill="1" applyBorder="1" applyAlignment="1" applyProtection="1">
      <alignment horizontal="center" vertical="center"/>
      <protection locked="0"/>
    </xf>
    <xf numFmtId="0" fontId="49" fillId="33" borderId="17" xfId="0" applyFont="1" applyFill="1" applyBorder="1" applyAlignment="1">
      <alignment horizontal="left" vertical="center" indent="1"/>
    </xf>
    <xf numFmtId="0" fontId="49" fillId="33" borderId="81" xfId="0" applyFont="1" applyFill="1" applyBorder="1" applyAlignment="1">
      <alignment horizontal="left" vertical="center" indent="1"/>
    </xf>
    <xf numFmtId="0" fontId="49" fillId="33" borderId="13" xfId="0" applyFont="1" applyFill="1" applyBorder="1" applyAlignment="1">
      <alignment horizontal="left" vertical="center" indent="1"/>
    </xf>
    <xf numFmtId="1" fontId="3" fillId="43" borderId="17" xfId="0" applyNumberFormat="1" applyFont="1" applyFill="1" applyBorder="1" applyAlignment="1" applyProtection="1">
      <alignment horizontal="center" vertical="center"/>
      <protection locked="0"/>
    </xf>
    <xf numFmtId="1" fontId="3" fillId="43" borderId="81" xfId="0" applyNumberFormat="1" applyFont="1" applyFill="1" applyBorder="1" applyAlignment="1" applyProtection="1">
      <alignment horizontal="center" vertical="center"/>
      <protection locked="0"/>
    </xf>
    <xf numFmtId="1" fontId="3" fillId="43" borderId="13" xfId="0" applyNumberFormat="1" applyFont="1" applyFill="1" applyBorder="1" applyAlignment="1" applyProtection="1">
      <alignment horizontal="center" vertical="center"/>
      <protection locked="0"/>
    </xf>
    <xf numFmtId="0" fontId="3" fillId="33" borderId="17" xfId="0" applyFont="1" applyFill="1" applyBorder="1" applyAlignment="1">
      <alignment horizontal="right" vertical="center"/>
    </xf>
    <xf numFmtId="0" fontId="3" fillId="33" borderId="81" xfId="0" applyFont="1" applyFill="1" applyBorder="1" applyAlignment="1">
      <alignment horizontal="right" vertical="center"/>
    </xf>
    <xf numFmtId="0" fontId="3" fillId="33" borderId="13" xfId="0" applyFont="1" applyFill="1" applyBorder="1" applyAlignment="1">
      <alignment horizontal="right" vertical="center"/>
    </xf>
    <xf numFmtId="0" fontId="7" fillId="33" borderId="17" xfId="0" applyFont="1" applyFill="1" applyBorder="1" applyAlignment="1">
      <alignment horizontal="center" vertical="center"/>
    </xf>
    <xf numFmtId="0" fontId="7" fillId="33" borderId="81" xfId="0" applyFont="1" applyFill="1" applyBorder="1" applyAlignment="1">
      <alignment horizontal="center" vertical="center"/>
    </xf>
    <xf numFmtId="0" fontId="7" fillId="33" borderId="13" xfId="0" applyFont="1" applyFill="1" applyBorder="1" applyAlignment="1">
      <alignment horizontal="center" vertical="center"/>
    </xf>
    <xf numFmtId="0" fontId="66" fillId="44" borderId="31" xfId="0" applyFont="1" applyFill="1" applyBorder="1" applyAlignment="1">
      <alignment horizontal="center" vertical="center" wrapText="1"/>
    </xf>
    <xf numFmtId="0" fontId="66" fillId="44" borderId="27" xfId="0" applyFont="1" applyFill="1" applyBorder="1" applyAlignment="1">
      <alignment horizontal="center" vertical="center" wrapText="1"/>
    </xf>
    <xf numFmtId="0" fontId="66" fillId="44" borderId="58" xfId="0" applyFont="1" applyFill="1" applyBorder="1" applyAlignment="1">
      <alignment horizontal="center" vertical="center" wrapText="1"/>
    </xf>
    <xf numFmtId="0" fontId="66" fillId="44" borderId="32" xfId="0" applyFont="1" applyFill="1" applyBorder="1" applyAlignment="1">
      <alignment horizontal="center" vertical="center" wrapText="1"/>
    </xf>
    <xf numFmtId="0" fontId="66" fillId="44" borderId="0" xfId="0" applyFont="1" applyFill="1" applyBorder="1" applyAlignment="1">
      <alignment horizontal="center" vertical="center" wrapText="1"/>
    </xf>
    <xf numFmtId="0" fontId="66" fillId="44" borderId="34" xfId="0" applyFont="1" applyFill="1" applyBorder="1" applyAlignment="1">
      <alignment horizontal="center" vertical="center" wrapText="1"/>
    </xf>
    <xf numFmtId="0" fontId="66" fillId="44" borderId="33" xfId="0" applyFont="1" applyFill="1" applyBorder="1" applyAlignment="1">
      <alignment horizontal="center" vertical="center" wrapText="1"/>
    </xf>
    <xf numFmtId="0" fontId="66" fillId="44" borderId="59" xfId="0" applyFont="1" applyFill="1" applyBorder="1" applyAlignment="1">
      <alignment horizontal="center" vertical="center" wrapText="1"/>
    </xf>
    <xf numFmtId="0" fontId="66" fillId="44" borderId="35" xfId="0" applyFont="1" applyFill="1" applyBorder="1" applyAlignment="1">
      <alignment horizontal="center" vertical="center" wrapText="1"/>
    </xf>
    <xf numFmtId="0" fontId="3" fillId="12" borderId="15" xfId="0" applyFont="1" applyFill="1" applyBorder="1" applyAlignment="1" applyProtection="1">
      <alignment horizontal="center" vertical="center"/>
      <protection locked="0"/>
    </xf>
    <xf numFmtId="0" fontId="3" fillId="12" borderId="88" xfId="0" applyFont="1" applyFill="1" applyBorder="1" applyAlignment="1" applyProtection="1">
      <alignment horizontal="center" vertical="center"/>
      <protection locked="0"/>
    </xf>
    <xf numFmtId="0" fontId="3" fillId="12" borderId="12" xfId="0" applyFont="1" applyFill="1" applyBorder="1" applyAlignment="1" applyProtection="1">
      <alignment horizontal="center" vertical="center"/>
      <protection locked="0"/>
    </xf>
    <xf numFmtId="0" fontId="3" fillId="33" borderId="16"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81" xfId="0" applyFont="1" applyFill="1" applyBorder="1" applyAlignment="1">
      <alignment horizontal="left" vertical="center"/>
    </xf>
    <xf numFmtId="0" fontId="3" fillId="33" borderId="13" xfId="0" applyFont="1" applyFill="1" applyBorder="1" applyAlignment="1">
      <alignment horizontal="left" vertical="center"/>
    </xf>
    <xf numFmtId="0" fontId="22" fillId="46" borderId="17" xfId="0" applyFont="1" applyFill="1" applyBorder="1" applyAlignment="1">
      <alignment horizontal="left" vertical="center"/>
    </xf>
    <xf numFmtId="0" fontId="22" fillId="46" borderId="81" xfId="0" applyFont="1" applyFill="1" applyBorder="1" applyAlignment="1">
      <alignment horizontal="left" vertical="center"/>
    </xf>
    <xf numFmtId="0" fontId="22" fillId="46" borderId="13" xfId="0" applyFont="1" applyFill="1" applyBorder="1" applyAlignment="1">
      <alignment horizontal="left" vertical="center"/>
    </xf>
    <xf numFmtId="1" fontId="3" fillId="43" borderId="17" xfId="0" applyNumberFormat="1" applyFont="1" applyFill="1" applyBorder="1" applyAlignment="1" applyProtection="1">
      <alignment horizontal="center" vertical="center"/>
      <protection hidden="1"/>
    </xf>
    <xf numFmtId="0" fontId="3" fillId="43" borderId="13" xfId="0" applyFont="1" applyFill="1" applyBorder="1" applyAlignment="1" applyProtection="1">
      <alignment horizontal="center" vertical="center"/>
      <protection hidden="1"/>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128" fillId="41" borderId="19" xfId="0" applyFont="1" applyFill="1" applyBorder="1" applyAlignment="1" applyProtection="1">
      <alignment horizontal="left" vertical="center"/>
      <protection locked="0"/>
    </xf>
    <xf numFmtId="0" fontId="3" fillId="33" borderId="17" xfId="0" applyFont="1" applyFill="1" applyBorder="1" applyAlignment="1">
      <alignment horizontal="center" vertical="center"/>
    </xf>
    <xf numFmtId="0" fontId="3" fillId="33" borderId="13" xfId="0" applyFont="1" applyFill="1" applyBorder="1" applyAlignment="1">
      <alignment horizontal="center" vertical="center"/>
    </xf>
    <xf numFmtId="0" fontId="22" fillId="47" borderId="17" xfId="0" applyFont="1" applyFill="1" applyBorder="1" applyAlignment="1">
      <alignment horizontal="left" vertical="center"/>
    </xf>
    <xf numFmtId="0" fontId="22" fillId="47" borderId="81" xfId="0" applyFont="1" applyFill="1" applyBorder="1" applyAlignment="1">
      <alignment horizontal="left" vertical="center"/>
    </xf>
    <xf numFmtId="0" fontId="22" fillId="47" borderId="13" xfId="0" applyFont="1" applyFill="1" applyBorder="1" applyAlignment="1">
      <alignment horizontal="left" vertical="center"/>
    </xf>
    <xf numFmtId="0" fontId="7" fillId="33" borderId="81" xfId="0" applyFont="1" applyFill="1" applyBorder="1" applyAlignment="1">
      <alignment horizontal="center" vertical="top" wrapText="1"/>
    </xf>
    <xf numFmtId="0" fontId="146" fillId="0" borderId="81" xfId="0" applyFont="1" applyBorder="1" applyAlignment="1">
      <alignment horizontal="center"/>
    </xf>
    <xf numFmtId="0" fontId="146" fillId="0" borderId="13" xfId="0" applyFont="1" applyBorder="1" applyAlignment="1">
      <alignment horizontal="center"/>
    </xf>
    <xf numFmtId="0" fontId="127" fillId="41" borderId="19" xfId="0" applyFont="1" applyFill="1" applyBorder="1" applyAlignment="1" applyProtection="1">
      <alignment horizontal="left" vertical="center"/>
      <protection locked="0"/>
    </xf>
    <xf numFmtId="0" fontId="127" fillId="41" borderId="19" xfId="0" applyFont="1" applyFill="1" applyBorder="1" applyAlignment="1" applyProtection="1">
      <alignment horizontal="center" vertical="center"/>
      <protection locked="0"/>
    </xf>
    <xf numFmtId="0" fontId="127" fillId="41" borderId="23" xfId="0" applyFont="1" applyFill="1" applyBorder="1" applyAlignment="1" applyProtection="1">
      <alignment horizontal="center" vertical="center"/>
      <protection locked="0"/>
    </xf>
    <xf numFmtId="0" fontId="3" fillId="43" borderId="81" xfId="0" applyFont="1" applyFill="1" applyBorder="1" applyAlignment="1" applyProtection="1">
      <alignment horizontal="center" vertical="center"/>
      <protection locked="0"/>
    </xf>
    <xf numFmtId="0" fontId="3" fillId="33" borderId="33"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59" xfId="0" applyFont="1" applyFill="1" applyBorder="1" applyAlignment="1">
      <alignment horizontal="left" vertical="center"/>
    </xf>
    <xf numFmtId="0" fontId="147" fillId="45" borderId="17" xfId="0" applyFont="1" applyFill="1" applyBorder="1" applyAlignment="1" applyProtection="1">
      <alignment horizontal="center" vertical="center"/>
      <protection/>
    </xf>
    <xf numFmtId="0" fontId="147" fillId="45" borderId="81" xfId="0" applyFont="1" applyFill="1" applyBorder="1" applyAlignment="1" applyProtection="1">
      <alignment horizontal="center" vertical="center"/>
      <protection/>
    </xf>
    <xf numFmtId="0" fontId="147" fillId="45" borderId="13" xfId="0" applyFont="1" applyFill="1" applyBorder="1" applyAlignment="1" applyProtection="1">
      <alignment horizontal="center" vertical="center"/>
      <protection/>
    </xf>
    <xf numFmtId="0" fontId="148" fillId="12" borderId="17" xfId="0" applyFont="1" applyFill="1" applyBorder="1" applyAlignment="1" applyProtection="1">
      <alignment horizontal="center" vertical="center" wrapText="1"/>
      <protection locked="0"/>
    </xf>
    <xf numFmtId="0" fontId="148" fillId="12" borderId="13" xfId="0" applyFont="1" applyFill="1" applyBorder="1" applyAlignment="1" applyProtection="1">
      <alignment horizontal="center" vertical="center" wrapText="1"/>
      <protection locked="0"/>
    </xf>
    <xf numFmtId="0" fontId="66" fillId="33" borderId="17" xfId="0" applyFont="1" applyFill="1" applyBorder="1" applyAlignment="1">
      <alignment horizontal="right" vertical="center"/>
    </xf>
    <xf numFmtId="0" fontId="66" fillId="33" borderId="13" xfId="0" applyFont="1" applyFill="1" applyBorder="1" applyAlignment="1">
      <alignment horizontal="right" vertical="center"/>
    </xf>
    <xf numFmtId="0" fontId="3" fillId="33" borderId="81" xfId="0" applyFont="1" applyFill="1" applyBorder="1" applyAlignment="1">
      <alignment horizontal="center" vertical="center"/>
    </xf>
    <xf numFmtId="0" fontId="149" fillId="48" borderId="21" xfId="0" applyFont="1" applyFill="1" applyBorder="1" applyAlignment="1">
      <alignment horizontal="center" vertical="center"/>
    </xf>
    <xf numFmtId="0" fontId="149" fillId="48" borderId="10" xfId="0" applyFont="1" applyFill="1" applyBorder="1" applyAlignment="1">
      <alignment horizontal="center" vertical="center"/>
    </xf>
    <xf numFmtId="0" fontId="149" fillId="48" borderId="23" xfId="0" applyFont="1" applyFill="1" applyBorder="1" applyAlignment="1">
      <alignment horizontal="center" vertical="center"/>
    </xf>
    <xf numFmtId="0" fontId="149" fillId="48" borderId="77" xfId="0" applyFont="1" applyFill="1" applyBorder="1" applyAlignment="1">
      <alignment horizontal="center" vertical="center"/>
    </xf>
    <xf numFmtId="0" fontId="3" fillId="43" borderId="17" xfId="0" applyFont="1" applyFill="1" applyBorder="1" applyAlignment="1" applyProtection="1">
      <alignment horizontal="left" vertical="center"/>
      <protection locked="0"/>
    </xf>
    <xf numFmtId="0" fontId="3" fillId="43" borderId="81" xfId="0" applyFont="1" applyFill="1" applyBorder="1" applyAlignment="1" applyProtection="1">
      <alignment horizontal="left" vertical="center"/>
      <protection locked="0"/>
    </xf>
    <xf numFmtId="0" fontId="3" fillId="43" borderId="13" xfId="0" applyFont="1" applyFill="1" applyBorder="1" applyAlignment="1" applyProtection="1">
      <alignment horizontal="left" vertical="center"/>
      <protection locked="0"/>
    </xf>
    <xf numFmtId="0" fontId="143" fillId="43" borderId="17" xfId="0" applyFont="1" applyFill="1" applyBorder="1" applyAlignment="1" applyProtection="1">
      <alignment horizontal="left" vertical="center"/>
      <protection locked="0"/>
    </xf>
    <xf numFmtId="0" fontId="143" fillId="43" borderId="81" xfId="0" applyFont="1" applyFill="1" applyBorder="1" applyAlignment="1" applyProtection="1">
      <alignment horizontal="left" vertical="center"/>
      <protection locked="0"/>
    </xf>
    <xf numFmtId="0" fontId="143" fillId="43" borderId="13" xfId="0" applyFont="1" applyFill="1" applyBorder="1" applyAlignment="1" applyProtection="1">
      <alignment horizontal="left" vertical="center"/>
      <protection locked="0"/>
    </xf>
    <xf numFmtId="0" fontId="3" fillId="33" borderId="17"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7" fillId="33" borderId="81" xfId="0" applyFont="1" applyFill="1" applyBorder="1" applyAlignment="1">
      <alignment horizontal="center" vertical="center" wrapText="1"/>
    </xf>
    <xf numFmtId="0" fontId="3" fillId="43" borderId="93" xfId="0" applyFont="1" applyFill="1" applyBorder="1" applyAlignment="1" applyProtection="1">
      <alignment horizontal="left" vertical="center"/>
      <protection locked="0"/>
    </xf>
    <xf numFmtId="0" fontId="3" fillId="43" borderId="94" xfId="0" applyFont="1" applyFill="1" applyBorder="1" applyAlignment="1" applyProtection="1">
      <alignment horizontal="left" vertical="center"/>
      <protection locked="0"/>
    </xf>
    <xf numFmtId="0" fontId="3" fillId="43" borderId="95" xfId="0" applyFont="1" applyFill="1" applyBorder="1" applyAlignment="1" applyProtection="1">
      <alignment horizontal="left" vertical="center"/>
      <protection locked="0"/>
    </xf>
    <xf numFmtId="0" fontId="3" fillId="33" borderId="58" xfId="0" applyFont="1" applyFill="1" applyBorder="1" applyAlignment="1">
      <alignment horizontal="center" vertical="center"/>
    </xf>
    <xf numFmtId="0" fontId="147" fillId="49" borderId="17" xfId="0" applyFont="1" applyFill="1" applyBorder="1" applyAlignment="1">
      <alignment horizontal="center" vertical="center"/>
    </xf>
    <xf numFmtId="0" fontId="147" fillId="49" borderId="81"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81" xfId="0" applyFont="1" applyFill="1" applyBorder="1" applyAlignment="1">
      <alignment horizontal="center" vertical="center" wrapText="1"/>
    </xf>
    <xf numFmtId="14" fontId="74" fillId="13" borderId="31" xfId="0" applyNumberFormat="1" applyFont="1" applyFill="1" applyBorder="1" applyAlignment="1">
      <alignment horizontal="left" vertical="center" wrapText="1"/>
    </xf>
    <xf numFmtId="14" fontId="74" fillId="13" borderId="27" xfId="0" applyNumberFormat="1" applyFont="1" applyFill="1" applyBorder="1" applyAlignment="1">
      <alignment horizontal="left" vertical="center" wrapText="1"/>
    </xf>
    <xf numFmtId="14" fontId="74" fillId="13" borderId="58" xfId="0" applyNumberFormat="1" applyFont="1" applyFill="1" applyBorder="1" applyAlignment="1">
      <alignment horizontal="left" vertical="center" wrapText="1"/>
    </xf>
    <xf numFmtId="0" fontId="150" fillId="50" borderId="31" xfId="0" applyFont="1" applyFill="1" applyBorder="1" applyAlignment="1" applyProtection="1">
      <alignment horizontal="left" vertical="center" wrapText="1" indent="4"/>
      <protection locked="0"/>
    </xf>
    <xf numFmtId="0" fontId="150" fillId="50" borderId="27" xfId="0" applyFont="1" applyFill="1" applyBorder="1" applyAlignment="1" applyProtection="1">
      <alignment horizontal="left" vertical="center" wrapText="1" indent="4"/>
      <protection locked="0"/>
    </xf>
    <xf numFmtId="0" fontId="150" fillId="50" borderId="32" xfId="0" applyFont="1" applyFill="1" applyBorder="1" applyAlignment="1" applyProtection="1">
      <alignment horizontal="left" vertical="center" wrapText="1" indent="4"/>
      <protection locked="0"/>
    </xf>
    <xf numFmtId="0" fontId="150" fillId="50" borderId="0" xfId="0" applyFont="1" applyFill="1" applyBorder="1" applyAlignment="1" applyProtection="1">
      <alignment horizontal="left" vertical="center" wrapText="1" indent="4"/>
      <protection locked="0"/>
    </xf>
    <xf numFmtId="0" fontId="5" fillId="43" borderId="17" xfId="0" applyFont="1" applyFill="1" applyBorder="1" applyAlignment="1" applyProtection="1">
      <alignment horizontal="left" vertical="center"/>
      <protection locked="0"/>
    </xf>
    <xf numFmtId="0" fontId="5" fillId="43" borderId="13" xfId="0" applyFont="1" applyFill="1" applyBorder="1" applyAlignment="1" applyProtection="1">
      <alignment horizontal="left" vertical="center"/>
      <protection locked="0"/>
    </xf>
    <xf numFmtId="1" fontId="128" fillId="41" borderId="0" xfId="0" applyNumberFormat="1" applyFont="1" applyFill="1" applyBorder="1" applyAlignment="1" applyProtection="1">
      <alignment horizontal="center" vertical="center"/>
      <protection locked="0"/>
    </xf>
    <xf numFmtId="1" fontId="55" fillId="41" borderId="0" xfId="0" applyNumberFormat="1" applyFont="1" applyFill="1" applyBorder="1" applyAlignment="1" applyProtection="1">
      <alignment horizontal="center" vertical="center"/>
      <protection locked="0"/>
    </xf>
    <xf numFmtId="0" fontId="65" fillId="51" borderId="27" xfId="0" applyFont="1" applyFill="1" applyBorder="1" applyAlignment="1" applyProtection="1">
      <alignment horizontal="center" vertical="center" textRotation="180" wrapText="1"/>
      <protection/>
    </xf>
    <xf numFmtId="0" fontId="65" fillId="51" borderId="58" xfId="0" applyFont="1" applyFill="1" applyBorder="1" applyAlignment="1" applyProtection="1">
      <alignment horizontal="center" vertical="center" textRotation="180" wrapText="1"/>
      <protection/>
    </xf>
    <xf numFmtId="0" fontId="65" fillId="51" borderId="0" xfId="0" applyFont="1" applyFill="1" applyBorder="1" applyAlignment="1" applyProtection="1">
      <alignment horizontal="center" vertical="center" textRotation="180" wrapText="1"/>
      <protection/>
    </xf>
    <xf numFmtId="0" fontId="65" fillId="51" borderId="34" xfId="0" applyFont="1" applyFill="1" applyBorder="1" applyAlignment="1" applyProtection="1">
      <alignment horizontal="center" vertical="center" textRotation="180" wrapText="1"/>
      <protection/>
    </xf>
    <xf numFmtId="0" fontId="65" fillId="51" borderId="59" xfId="0" applyFont="1" applyFill="1" applyBorder="1" applyAlignment="1" applyProtection="1">
      <alignment horizontal="center" vertical="center" textRotation="180" wrapText="1"/>
      <protection/>
    </xf>
    <xf numFmtId="0" fontId="65" fillId="51" borderId="35" xfId="0" applyFont="1" applyFill="1" applyBorder="1" applyAlignment="1" applyProtection="1">
      <alignment horizontal="center" vertical="center" textRotation="180" wrapText="1"/>
      <protection/>
    </xf>
    <xf numFmtId="0" fontId="4" fillId="43" borderId="17" xfId="0" applyFont="1" applyFill="1" applyBorder="1" applyAlignment="1" applyProtection="1">
      <alignment horizontal="center" vertical="center" wrapText="1"/>
      <protection locked="0"/>
    </xf>
    <xf numFmtId="0" fontId="4" fillId="43" borderId="13" xfId="0" applyFont="1" applyFill="1" applyBorder="1" applyAlignment="1" applyProtection="1">
      <alignment horizontal="center" vertical="center" wrapText="1"/>
      <protection locked="0"/>
    </xf>
    <xf numFmtId="0" fontId="7" fillId="33" borderId="96" xfId="0" applyFont="1" applyFill="1" applyBorder="1" applyAlignment="1">
      <alignment horizontal="center" vertical="center"/>
    </xf>
    <xf numFmtId="0" fontId="3" fillId="33" borderId="13" xfId="0" applyFont="1" applyFill="1" applyBorder="1" applyAlignment="1">
      <alignment horizontal="center" vertical="center" wrapText="1"/>
    </xf>
    <xf numFmtId="0" fontId="71" fillId="52" borderId="15" xfId="0" applyFont="1" applyFill="1" applyBorder="1" applyAlignment="1" applyProtection="1">
      <alignment horizontal="center" vertical="center" textRotation="255"/>
      <protection/>
    </xf>
    <xf numFmtId="0" fontId="71" fillId="52" borderId="88" xfId="0" applyFont="1" applyFill="1" applyBorder="1" applyAlignment="1" applyProtection="1">
      <alignment horizontal="center" vertical="center" textRotation="255"/>
      <protection/>
    </xf>
    <xf numFmtId="0" fontId="71" fillId="52" borderId="12" xfId="0" applyFont="1" applyFill="1" applyBorder="1" applyAlignment="1" applyProtection="1">
      <alignment horizontal="center" vertical="center" textRotation="255"/>
      <protection/>
    </xf>
    <xf numFmtId="0" fontId="3" fillId="40" borderId="17" xfId="0" applyFont="1" applyFill="1" applyBorder="1" applyAlignment="1" applyProtection="1">
      <alignment horizontal="center" vertical="center"/>
      <protection locked="0"/>
    </xf>
    <xf numFmtId="0" fontId="3" fillId="40" borderId="13" xfId="0" applyFont="1" applyFill="1" applyBorder="1" applyAlignment="1" applyProtection="1">
      <alignment horizontal="center" vertical="center"/>
      <protection locked="0"/>
    </xf>
    <xf numFmtId="0" fontId="11" fillId="47" borderId="17" xfId="0" applyFont="1" applyFill="1" applyBorder="1" applyAlignment="1">
      <alignment horizontal="center" vertical="center"/>
    </xf>
    <xf numFmtId="0" fontId="11" fillId="47" borderId="35" xfId="0" applyFont="1" applyFill="1" applyBorder="1" applyAlignment="1">
      <alignment horizontal="center" vertical="center"/>
    </xf>
    <xf numFmtId="0" fontId="147" fillId="45" borderId="31" xfId="0" applyFont="1" applyFill="1" applyBorder="1" applyAlignment="1">
      <alignment horizontal="center" vertical="center" wrapText="1"/>
    </xf>
    <xf numFmtId="0" fontId="147" fillId="45" borderId="27" xfId="0" applyFont="1" applyFill="1" applyBorder="1" applyAlignment="1">
      <alignment horizontal="center" vertical="center" wrapText="1"/>
    </xf>
    <xf numFmtId="0" fontId="147" fillId="45" borderId="58" xfId="0" applyFont="1" applyFill="1" applyBorder="1" applyAlignment="1">
      <alignment horizontal="center" vertical="center" wrapText="1"/>
    </xf>
    <xf numFmtId="0" fontId="22" fillId="47" borderId="17" xfId="0" applyFont="1" applyFill="1" applyBorder="1" applyAlignment="1">
      <alignment horizontal="left" vertical="center" wrapText="1"/>
    </xf>
    <xf numFmtId="0" fontId="22" fillId="47" borderId="81" xfId="0" applyFont="1" applyFill="1" applyBorder="1" applyAlignment="1">
      <alignment horizontal="left" vertical="center" wrapText="1"/>
    </xf>
    <xf numFmtId="0" fontId="22" fillId="47" borderId="13" xfId="0" applyFont="1" applyFill="1" applyBorder="1" applyAlignment="1">
      <alignment horizontal="left" vertical="center" wrapText="1"/>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12" fillId="0" borderId="0" xfId="0" applyFont="1" applyAlignment="1">
      <alignment horizontal="center" vertical="center"/>
    </xf>
    <xf numFmtId="0" fontId="27" fillId="0" borderId="26" xfId="0" applyFont="1" applyBorder="1" applyAlignment="1" applyProtection="1">
      <alignment horizontal="left"/>
      <protection hidden="1"/>
    </xf>
    <xf numFmtId="0" fontId="27" fillId="0" borderId="0" xfId="0" applyFont="1" applyBorder="1" applyAlignment="1" applyProtection="1">
      <alignment horizontal="left"/>
      <protection hidden="1"/>
    </xf>
    <xf numFmtId="0" fontId="24" fillId="0" borderId="14" xfId="0" applyFont="1" applyBorder="1" applyAlignment="1" applyProtection="1">
      <alignment horizontal="left" vertical="center" wrapText="1"/>
      <protection hidden="1"/>
    </xf>
    <xf numFmtId="0" fontId="24" fillId="0" borderId="26" xfId="0" applyFont="1" applyBorder="1" applyAlignment="1" applyProtection="1">
      <alignment horizontal="left"/>
      <protection hidden="1"/>
    </xf>
    <xf numFmtId="0" fontId="24" fillId="0" borderId="0"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4" fillId="0" borderId="27" xfId="0" applyFont="1" applyBorder="1" applyAlignment="1" applyProtection="1">
      <alignment horizontal="center"/>
      <protection hidden="1"/>
    </xf>
    <xf numFmtId="0" fontId="26" fillId="0" borderId="97" xfId="0" applyFont="1" applyBorder="1" applyAlignment="1" applyProtection="1">
      <alignment horizontal="left" vertical="center"/>
      <protection hidden="1"/>
    </xf>
    <xf numFmtId="0" fontId="26" fillId="0" borderId="23" xfId="0" applyFont="1" applyBorder="1" applyAlignment="1" applyProtection="1">
      <alignment horizontal="left" vertical="center"/>
      <protection hidden="1"/>
    </xf>
    <xf numFmtId="0" fontId="24" fillId="0" borderId="23" xfId="0" applyFont="1" applyBorder="1" applyAlignment="1" applyProtection="1">
      <alignment horizontal="left" vertical="center" shrinkToFit="1"/>
      <protection hidden="1"/>
    </xf>
    <xf numFmtId="0" fontId="24" fillId="0" borderId="98" xfId="0" applyFont="1" applyBorder="1" applyAlignment="1" applyProtection="1">
      <alignment horizontal="left" vertical="center" shrinkToFit="1"/>
      <protection hidden="1"/>
    </xf>
    <xf numFmtId="0" fontId="14" fillId="0" borderId="31" xfId="0" applyFont="1" applyBorder="1" applyAlignment="1" applyProtection="1">
      <alignment horizontal="center"/>
      <protection hidden="1"/>
    </xf>
    <xf numFmtId="0" fontId="53" fillId="0" borderId="99" xfId="0" applyFont="1" applyBorder="1" applyAlignment="1" applyProtection="1">
      <alignment horizontal="center" vertical="center"/>
      <protection hidden="1"/>
    </xf>
    <xf numFmtId="0" fontId="53" fillId="0" borderId="14" xfId="0" applyFont="1" applyBorder="1" applyAlignment="1" applyProtection="1">
      <alignment horizontal="center" vertical="center"/>
      <protection hidden="1"/>
    </xf>
    <xf numFmtId="0" fontId="53" fillId="0" borderId="87" xfId="0" applyFont="1" applyBorder="1" applyAlignment="1" applyProtection="1">
      <alignment horizontal="center" vertical="center"/>
      <protection hidden="1"/>
    </xf>
    <xf numFmtId="0" fontId="24" fillId="0" borderId="14" xfId="0" applyFont="1" applyBorder="1" applyAlignment="1" applyProtection="1">
      <alignment horizontal="right" vertical="center" indent="1"/>
      <protection hidden="1"/>
    </xf>
    <xf numFmtId="0" fontId="28" fillId="0" borderId="0" xfId="0" applyFont="1" applyBorder="1" applyAlignment="1" applyProtection="1">
      <alignment horizontal="left"/>
      <protection hidden="1"/>
    </xf>
    <xf numFmtId="0" fontId="27" fillId="0" borderId="80" xfId="0" applyFont="1" applyBorder="1" applyAlignment="1" applyProtection="1">
      <alignment horizontal="left" vertical="center"/>
      <protection hidden="1"/>
    </xf>
    <xf numFmtId="0" fontId="27" fillId="0" borderId="100" xfId="0" applyFont="1" applyBorder="1" applyAlignment="1" applyProtection="1">
      <alignment horizontal="left" vertical="center"/>
      <protection hidden="1"/>
    </xf>
    <xf numFmtId="0" fontId="14" fillId="0" borderId="99"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24" fillId="0" borderId="14" xfId="0" applyFont="1" applyBorder="1" applyAlignment="1" applyProtection="1">
      <alignment horizontal="left" vertical="center" shrinkToFit="1"/>
      <protection hidden="1"/>
    </xf>
    <xf numFmtId="0" fontId="24" fillId="0" borderId="87" xfId="0" applyFont="1" applyBorder="1" applyAlignment="1" applyProtection="1">
      <alignment horizontal="left" vertical="center" shrinkToFit="1"/>
      <protection hidden="1"/>
    </xf>
    <xf numFmtId="0" fontId="24" fillId="0" borderId="23" xfId="0" applyFont="1" applyBorder="1" applyAlignment="1" applyProtection="1">
      <alignment horizontal="left" vertical="center"/>
      <protection hidden="1"/>
    </xf>
    <xf numFmtId="0" fontId="24" fillId="0" borderId="23" xfId="0" applyFont="1" applyBorder="1" applyAlignment="1" applyProtection="1">
      <alignment horizontal="right" vertical="center" indent="1"/>
      <protection hidden="1"/>
    </xf>
    <xf numFmtId="0" fontId="24" fillId="0" borderId="54" xfId="0" applyFont="1" applyBorder="1" applyAlignment="1" applyProtection="1">
      <alignment horizontal="left" vertical="center"/>
      <protection hidden="1"/>
    </xf>
    <xf numFmtId="0" fontId="24" fillId="0" borderId="80" xfId="0" applyFont="1" applyBorder="1" applyAlignment="1" applyProtection="1">
      <alignment horizontal="left" vertical="center"/>
      <protection hidden="1"/>
    </xf>
    <xf numFmtId="0" fontId="27" fillId="0" borderId="80" xfId="0" applyFont="1" applyBorder="1" applyAlignment="1" applyProtection="1">
      <alignment horizontal="right" vertical="center"/>
      <protection hidden="1"/>
    </xf>
    <xf numFmtId="0" fontId="14" fillId="0" borderId="26" xfId="0" applyFont="1" applyBorder="1" applyAlignment="1" applyProtection="1">
      <alignment horizontal="left"/>
      <protection hidden="1"/>
    </xf>
    <xf numFmtId="0" fontId="28" fillId="0" borderId="16" xfId="0" applyFont="1" applyBorder="1" applyAlignment="1" applyProtection="1">
      <alignment horizontal="left"/>
      <protection hidden="1"/>
    </xf>
    <xf numFmtId="0" fontId="14" fillId="0" borderId="0" xfId="0" applyFont="1" applyBorder="1" applyAlignment="1" applyProtection="1">
      <alignment horizontal="left" shrinkToFit="1"/>
      <protection hidden="1"/>
    </xf>
    <xf numFmtId="0" fontId="14" fillId="0" borderId="0" xfId="0" applyFont="1" applyBorder="1" applyAlignment="1" applyProtection="1">
      <alignment/>
      <protection hidden="1"/>
    </xf>
    <xf numFmtId="0" fontId="24" fillId="0" borderId="33" xfId="0" applyFont="1" applyBorder="1" applyAlignment="1">
      <alignment horizontal="left"/>
    </xf>
    <xf numFmtId="0" fontId="24" fillId="0" borderId="59" xfId="0" applyFont="1" applyBorder="1" applyAlignment="1">
      <alignment horizontal="left"/>
    </xf>
    <xf numFmtId="0" fontId="25" fillId="0" borderId="0" xfId="0" applyFont="1" applyBorder="1" applyAlignment="1" applyProtection="1">
      <alignment horizontal="center"/>
      <protection hidden="1"/>
    </xf>
    <xf numFmtId="0" fontId="24" fillId="0" borderId="16" xfId="0" applyFont="1" applyBorder="1" applyAlignment="1" applyProtection="1">
      <alignment horizontal="left"/>
      <protection hidden="1"/>
    </xf>
    <xf numFmtId="0" fontId="70" fillId="0" borderId="26" xfId="0" applyFont="1" applyBorder="1" applyAlignment="1" applyProtection="1">
      <alignment horizontal="left" vertical="center"/>
      <protection hidden="1"/>
    </xf>
    <xf numFmtId="0" fontId="70" fillId="0" borderId="0" xfId="0" applyFont="1" applyBorder="1" applyAlignment="1" applyProtection="1">
      <alignment horizontal="left" vertical="center"/>
      <protection hidden="1"/>
    </xf>
    <xf numFmtId="0" fontId="70" fillId="0" borderId="16" xfId="0" applyFont="1" applyBorder="1" applyAlignment="1" applyProtection="1">
      <alignment horizontal="left" vertical="center"/>
      <protection hidden="1"/>
    </xf>
    <xf numFmtId="0" fontId="24" fillId="0" borderId="59" xfId="0" applyFont="1" applyBorder="1" applyAlignment="1">
      <alignment horizontal="center"/>
    </xf>
    <xf numFmtId="0" fontId="24" fillId="0" borderId="35" xfId="0" applyFont="1" applyBorder="1" applyAlignment="1">
      <alignment horizontal="center"/>
    </xf>
    <xf numFmtId="0" fontId="21" fillId="0" borderId="0" xfId="0" applyFont="1" applyBorder="1" applyAlignment="1" applyProtection="1">
      <alignment/>
      <protection hidden="1"/>
    </xf>
    <xf numFmtId="0" fontId="27" fillId="0" borderId="50" xfId="0" applyFont="1" applyBorder="1" applyAlignment="1" applyProtection="1">
      <alignment horizontal="left"/>
      <protection hidden="1"/>
    </xf>
    <xf numFmtId="0" fontId="27" fillId="0" borderId="14" xfId="0" applyFont="1" applyBorder="1" applyAlignment="1" applyProtection="1">
      <alignment horizontal="left"/>
      <protection hidden="1"/>
    </xf>
    <xf numFmtId="17" fontId="14" fillId="0" borderId="41" xfId="0" applyNumberFormat="1" applyFont="1" applyBorder="1" applyAlignment="1" applyProtection="1">
      <alignment horizontal="center"/>
      <protection hidden="1"/>
    </xf>
    <xf numFmtId="0" fontId="28" fillId="0" borderId="101" xfId="0" applyFont="1" applyBorder="1" applyAlignment="1" applyProtection="1">
      <alignment horizontal="center"/>
      <protection hidden="1"/>
    </xf>
    <xf numFmtId="0" fontId="28" fillId="0" borderId="23" xfId="0" applyFont="1" applyBorder="1" applyAlignment="1" applyProtection="1">
      <alignment horizontal="center"/>
      <protection hidden="1"/>
    </xf>
    <xf numFmtId="0" fontId="28" fillId="0" borderId="57" xfId="0" applyFont="1" applyBorder="1" applyAlignment="1" applyProtection="1">
      <alignment horizontal="center"/>
      <protection hidden="1"/>
    </xf>
    <xf numFmtId="0" fontId="27" fillId="0" borderId="26"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51"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24" fillId="0" borderId="17" xfId="0" applyFont="1" applyBorder="1" applyAlignment="1" applyProtection="1">
      <alignment horizontal="center" vertical="center"/>
      <protection hidden="1"/>
    </xf>
    <xf numFmtId="0" fontId="24" fillId="0" borderId="81" xfId="0" applyFont="1" applyBorder="1" applyAlignment="1" applyProtection="1">
      <alignment horizontal="center" vertical="center"/>
      <protection hidden="1"/>
    </xf>
    <xf numFmtId="0" fontId="24" fillId="0" borderId="102" xfId="0" applyFont="1" applyBorder="1" applyAlignment="1" applyProtection="1">
      <alignment horizontal="center" vertical="center"/>
      <protection hidden="1"/>
    </xf>
    <xf numFmtId="0" fontId="14" fillId="0" borderId="73"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14" fillId="0" borderId="10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53" xfId="0" applyFont="1" applyBorder="1" applyAlignment="1" applyProtection="1">
      <alignment horizontal="center" vertical="center" wrapText="1"/>
      <protection hidden="1"/>
    </xf>
    <xf numFmtId="0" fontId="14" fillId="0" borderId="26" xfId="0" applyFont="1" applyBorder="1" applyAlignment="1" applyProtection="1">
      <alignment horizontal="center"/>
      <protection hidden="1"/>
    </xf>
    <xf numFmtId="0" fontId="14" fillId="0" borderId="52" xfId="0" applyFont="1" applyBorder="1" applyAlignment="1" applyProtection="1">
      <alignment horizontal="center"/>
      <protection hidden="1"/>
    </xf>
    <xf numFmtId="0" fontId="24" fillId="0" borderId="104" xfId="0" applyFont="1" applyBorder="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25" fillId="0" borderId="17" xfId="0" applyFont="1" applyBorder="1" applyAlignment="1" applyProtection="1">
      <alignment horizontal="center" vertical="center"/>
      <protection hidden="1"/>
    </xf>
    <xf numFmtId="0" fontId="25" fillId="0" borderId="81"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14" fillId="0" borderId="26" xfId="0" applyFont="1" applyBorder="1" applyAlignment="1" applyProtection="1">
      <alignment vertical="center"/>
      <protection hidden="1"/>
    </xf>
    <xf numFmtId="0" fontId="14" fillId="0" borderId="53" xfId="0" applyFont="1" applyBorder="1" applyAlignment="1" applyProtection="1">
      <alignment horizontal="center" vertical="center"/>
      <protection hidden="1"/>
    </xf>
    <xf numFmtId="3" fontId="24" fillId="0" borderId="26" xfId="0" applyNumberFormat="1" applyFont="1" applyBorder="1" applyAlignment="1" applyProtection="1">
      <alignment horizontal="left" vertical="center"/>
      <protection hidden="1"/>
    </xf>
    <xf numFmtId="3" fontId="24" fillId="0" borderId="0" xfId="0" applyNumberFormat="1" applyFont="1" applyBorder="1" applyAlignment="1" applyProtection="1">
      <alignment horizontal="left" vertical="center"/>
      <protection hidden="1"/>
    </xf>
    <xf numFmtId="3" fontId="24" fillId="0" borderId="16" xfId="0" applyNumberFormat="1" applyFont="1" applyBorder="1" applyAlignment="1" applyProtection="1">
      <alignment horizontal="left" vertical="center"/>
      <protection hidden="1"/>
    </xf>
    <xf numFmtId="3" fontId="28" fillId="0" borderId="0" xfId="0" applyNumberFormat="1" applyFont="1" applyBorder="1" applyAlignment="1" applyProtection="1">
      <alignment vertical="center"/>
      <protection hidden="1"/>
    </xf>
    <xf numFmtId="0" fontId="14" fillId="0" borderId="26"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7" fillId="0" borderId="16" xfId="0" applyFont="1" applyBorder="1" applyAlignment="1" applyProtection="1">
      <alignment vertical="center"/>
      <protection hidden="1"/>
    </xf>
    <xf numFmtId="0" fontId="14" fillId="0" borderId="19"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4" fillId="0" borderId="57" xfId="0" applyFont="1" applyBorder="1" applyAlignment="1" applyProtection="1">
      <alignment horizontal="center" vertical="center"/>
      <protection hidden="1"/>
    </xf>
    <xf numFmtId="41" fontId="24" fillId="0" borderId="51" xfId="0" applyNumberFormat="1" applyFont="1" applyBorder="1" applyAlignment="1" applyProtection="1">
      <alignment horizontal="center"/>
      <protection hidden="1"/>
    </xf>
    <xf numFmtId="41" fontId="24" fillId="0" borderId="0" xfId="0" applyNumberFormat="1" applyFont="1" applyBorder="1" applyAlignment="1" applyProtection="1">
      <alignment horizontal="center"/>
      <protection hidden="1"/>
    </xf>
    <xf numFmtId="0" fontId="24" fillId="0" borderId="52" xfId="0" applyFont="1" applyBorder="1" applyAlignment="1" applyProtection="1">
      <alignment horizontal="left"/>
      <protection hidden="1"/>
    </xf>
    <xf numFmtId="41" fontId="24" fillId="0" borderId="16" xfId="0" applyNumberFormat="1" applyFont="1" applyBorder="1" applyAlignment="1" applyProtection="1">
      <alignment horizontal="center"/>
      <protection hidden="1"/>
    </xf>
    <xf numFmtId="0" fontId="14" fillId="0" borderId="105" xfId="0" applyFont="1" applyBorder="1" applyAlignment="1" applyProtection="1">
      <alignment horizontal="center" vertical="center"/>
      <protection hidden="1"/>
    </xf>
    <xf numFmtId="0" fontId="53" fillId="0" borderId="106" xfId="0" applyFont="1" applyBorder="1" applyAlignment="1" applyProtection="1">
      <alignment horizontal="center" vertical="center" wrapText="1"/>
      <protection hidden="1"/>
    </xf>
    <xf numFmtId="0" fontId="33" fillId="0" borderId="62" xfId="0" applyFont="1" applyBorder="1" applyAlignment="1" applyProtection="1">
      <alignment horizontal="center" vertical="center" wrapText="1"/>
      <protection hidden="1"/>
    </xf>
    <xf numFmtId="0" fontId="33" fillId="0" borderId="63" xfId="0" applyFont="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28" fillId="0" borderId="107" xfId="0" applyFont="1" applyBorder="1" applyAlignment="1" applyProtection="1">
      <alignment horizontal="center" vertical="center"/>
      <protection hidden="1"/>
    </xf>
    <xf numFmtId="0" fontId="28" fillId="0" borderId="80"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3" fontId="27" fillId="0" borderId="26" xfId="0" applyNumberFormat="1" applyFont="1" applyBorder="1" applyAlignment="1" applyProtection="1">
      <alignment vertical="center"/>
      <protection hidden="1"/>
    </xf>
    <xf numFmtId="3" fontId="27" fillId="0" borderId="0" xfId="0" applyNumberFormat="1" applyFont="1" applyBorder="1" applyAlignment="1" applyProtection="1">
      <alignment vertical="center"/>
      <protection hidden="1"/>
    </xf>
    <xf numFmtId="3" fontId="27" fillId="0" borderId="16" xfId="0" applyNumberFormat="1" applyFont="1" applyBorder="1" applyAlignment="1" applyProtection="1">
      <alignment vertical="center"/>
      <protection hidden="1"/>
    </xf>
    <xf numFmtId="0" fontId="31" fillId="0" borderId="5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8" fillId="0" borderId="52" xfId="0" applyFont="1" applyBorder="1" applyAlignment="1" applyProtection="1">
      <alignment vertical="center"/>
      <protection hidden="1"/>
    </xf>
    <xf numFmtId="0" fontId="30" fillId="0" borderId="51"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52" xfId="0" applyFont="1" applyBorder="1" applyAlignment="1" applyProtection="1">
      <alignment horizontal="center" vertical="center"/>
      <protection hidden="1"/>
    </xf>
    <xf numFmtId="17" fontId="27" fillId="0" borderId="21" xfId="0" applyNumberFormat="1" applyFont="1" applyBorder="1" applyAlignment="1" applyProtection="1">
      <alignment horizontal="center" vertical="center"/>
      <protection hidden="1"/>
    </xf>
    <xf numFmtId="0" fontId="27" fillId="0" borderId="23" xfId="0" applyFont="1" applyBorder="1" applyAlignment="1" applyProtection="1">
      <alignment horizontal="center" vertical="center"/>
      <protection hidden="1"/>
    </xf>
    <xf numFmtId="0" fontId="27" fillId="0" borderId="26"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0" fontId="27" fillId="0" borderId="50" xfId="0" applyFont="1" applyBorder="1" applyAlignment="1" applyProtection="1">
      <alignment horizontal="center" vertical="center"/>
      <protection hidden="1"/>
    </xf>
    <xf numFmtId="0" fontId="27" fillId="0" borderId="14" xfId="0" applyFont="1" applyBorder="1" applyAlignment="1" applyProtection="1">
      <alignment horizontal="center" vertical="center"/>
      <protection hidden="1"/>
    </xf>
    <xf numFmtId="0" fontId="27" fillId="0" borderId="77"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27" fillId="0" borderId="22" xfId="0" applyFont="1" applyBorder="1" applyAlignment="1" applyProtection="1">
      <alignment horizontal="center" vertical="center"/>
      <protection hidden="1"/>
    </xf>
    <xf numFmtId="0" fontId="27" fillId="0" borderId="52" xfId="0" applyFont="1" applyBorder="1" applyAlignment="1" applyProtection="1">
      <alignment horizontal="center" vertical="center"/>
      <protection hidden="1"/>
    </xf>
    <xf numFmtId="0" fontId="27" fillId="0" borderId="53" xfId="0" applyFont="1" applyBorder="1" applyAlignment="1" applyProtection="1">
      <alignment horizontal="center" vertical="center"/>
      <protection hidden="1"/>
    </xf>
    <xf numFmtId="0" fontId="31" fillId="0" borderId="78" xfId="0" applyFont="1" applyBorder="1" applyAlignment="1" applyProtection="1">
      <alignment vertical="center"/>
      <protection hidden="1"/>
    </xf>
    <xf numFmtId="0" fontId="31" fillId="0" borderId="30" xfId="0" applyFont="1" applyBorder="1" applyAlignment="1" applyProtection="1">
      <alignment vertical="center"/>
      <protection hidden="1"/>
    </xf>
    <xf numFmtId="0" fontId="28" fillId="0" borderId="30" xfId="0" applyFont="1" applyBorder="1" applyAlignment="1" applyProtection="1">
      <alignment vertical="center"/>
      <protection hidden="1"/>
    </xf>
    <xf numFmtId="0" fontId="28" fillId="0" borderId="79" xfId="0" applyFont="1" applyBorder="1" applyAlignment="1" applyProtection="1">
      <alignment vertical="center"/>
      <protection hidden="1"/>
    </xf>
    <xf numFmtId="0" fontId="28" fillId="0" borderId="26" xfId="0" applyFont="1" applyBorder="1" applyAlignment="1" applyProtection="1">
      <alignment horizontal="left" indent="2"/>
      <protection hidden="1"/>
    </xf>
    <xf numFmtId="0" fontId="28" fillId="0" borderId="0" xfId="0" applyFont="1" applyAlignment="1" applyProtection="1">
      <alignment horizontal="left" indent="2"/>
      <protection hidden="1"/>
    </xf>
    <xf numFmtId="0" fontId="28" fillId="0" borderId="0" xfId="0" applyFont="1" applyBorder="1" applyAlignment="1" applyProtection="1">
      <alignment horizontal="left" indent="2"/>
      <protection hidden="1"/>
    </xf>
    <xf numFmtId="0" fontId="28" fillId="0" borderId="25" xfId="0" applyFont="1" applyBorder="1" applyAlignment="1" applyProtection="1">
      <alignment horizontal="center"/>
      <protection hidden="1"/>
    </xf>
    <xf numFmtId="0" fontId="28" fillId="0" borderId="20" xfId="0" applyFont="1" applyBorder="1" applyAlignment="1" applyProtection="1">
      <alignment horizontal="center"/>
      <protection hidden="1"/>
    </xf>
    <xf numFmtId="0" fontId="28" fillId="0" borderId="26" xfId="0" applyFont="1" applyBorder="1" applyAlignment="1" applyProtection="1">
      <alignment horizontal="center"/>
      <protection hidden="1"/>
    </xf>
    <xf numFmtId="0" fontId="28" fillId="0" borderId="0" xfId="0" applyFont="1" applyBorder="1" applyAlignment="1" applyProtection="1">
      <alignment horizontal="center"/>
      <protection hidden="1"/>
    </xf>
    <xf numFmtId="0" fontId="28" fillId="0" borderId="71" xfId="0" applyFont="1" applyBorder="1" applyAlignment="1" applyProtection="1">
      <alignment horizontal="center"/>
      <protection hidden="1"/>
    </xf>
    <xf numFmtId="0" fontId="35" fillId="0" borderId="0" xfId="0" applyFont="1" applyBorder="1" applyAlignment="1" applyProtection="1">
      <alignment horizontal="center" vertical="center"/>
      <protection hidden="1"/>
    </xf>
    <xf numFmtId="0" fontId="24" fillId="0" borderId="51"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24" fillId="0" borderId="52" xfId="0" applyFont="1" applyBorder="1" applyAlignment="1" applyProtection="1">
      <alignment horizontal="left" vertical="center" wrapText="1"/>
      <protection hidden="1"/>
    </xf>
    <xf numFmtId="0" fontId="14" fillId="0" borderId="51" xfId="0" applyFont="1" applyBorder="1" applyAlignment="1" applyProtection="1">
      <alignment horizontal="left"/>
      <protection hidden="1"/>
    </xf>
    <xf numFmtId="180" fontId="14" fillId="0" borderId="0" xfId="0" applyNumberFormat="1" applyFont="1" applyBorder="1" applyAlignment="1" applyProtection="1">
      <alignment horizontal="left"/>
      <protection hidden="1"/>
    </xf>
    <xf numFmtId="0" fontId="28" fillId="0" borderId="10" xfId="0" applyFont="1" applyBorder="1" applyAlignment="1" applyProtection="1">
      <alignment horizontal="center"/>
      <protection hidden="1"/>
    </xf>
    <xf numFmtId="0" fontId="28" fillId="0" borderId="21"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57" xfId="0" applyFont="1" applyBorder="1" applyAlignment="1" applyProtection="1">
      <alignment horizontal="center"/>
      <protection hidden="1"/>
    </xf>
    <xf numFmtId="0" fontId="28" fillId="0" borderId="50" xfId="0" applyFont="1" applyBorder="1" applyAlignment="1" applyProtection="1">
      <alignment horizontal="center"/>
      <protection hidden="1"/>
    </xf>
    <xf numFmtId="0" fontId="28" fillId="0" borderId="14" xfId="0" applyFont="1" applyBorder="1" applyAlignment="1" applyProtection="1">
      <alignment horizontal="center"/>
      <protection hidden="1"/>
    </xf>
    <xf numFmtId="0" fontId="28" fillId="0" borderId="22" xfId="0" applyFont="1" applyBorder="1" applyAlignment="1" applyProtection="1">
      <alignment horizontal="center"/>
      <protection hidden="1"/>
    </xf>
    <xf numFmtId="0" fontId="29" fillId="0" borderId="50" xfId="0" applyFont="1" applyBorder="1" applyAlignment="1" applyProtection="1">
      <alignment horizontal="center"/>
      <protection hidden="1"/>
    </xf>
    <xf numFmtId="0" fontId="29" fillId="0" borderId="53"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52" xfId="0" applyFont="1" applyBorder="1" applyAlignment="1" applyProtection="1">
      <alignment horizontal="center"/>
      <protection hidden="1"/>
    </xf>
    <xf numFmtId="0" fontId="28" fillId="0" borderId="16" xfId="0" applyFont="1" applyBorder="1" applyAlignment="1" applyProtection="1">
      <alignment horizontal="center"/>
      <protection hidden="1"/>
    </xf>
    <xf numFmtId="0" fontId="28" fillId="0" borderId="77" xfId="0" applyFont="1" applyBorder="1" applyAlignment="1" applyProtection="1">
      <alignment horizontal="center"/>
      <protection hidden="1"/>
    </xf>
    <xf numFmtId="0" fontId="27" fillId="0" borderId="0" xfId="0" applyFont="1" applyBorder="1" applyAlignment="1" applyProtection="1">
      <alignment horizontal="left" vertical="center"/>
      <protection hidden="1"/>
    </xf>
    <xf numFmtId="0" fontId="27" fillId="0" borderId="51" xfId="0" applyFont="1" applyBorder="1" applyAlignment="1" applyProtection="1">
      <alignment horizontal="center" shrinkToFit="1"/>
      <protection hidden="1"/>
    </xf>
    <xf numFmtId="0" fontId="27" fillId="0" borderId="0" xfId="0" applyFont="1" applyBorder="1" applyAlignment="1" applyProtection="1">
      <alignment horizontal="center" shrinkToFit="1"/>
      <protection hidden="1"/>
    </xf>
    <xf numFmtId="0" fontId="27" fillId="0" borderId="52" xfId="0" applyFont="1" applyBorder="1" applyAlignment="1" applyProtection="1">
      <alignment horizontal="center" shrinkToFit="1"/>
      <protection hidden="1"/>
    </xf>
    <xf numFmtId="0" fontId="27" fillId="0" borderId="62" xfId="0" applyFont="1" applyBorder="1" applyAlignment="1" applyProtection="1">
      <alignment horizontal="left"/>
      <protection hidden="1"/>
    </xf>
    <xf numFmtId="0" fontId="14" fillId="0" borderId="62" xfId="0" applyFont="1" applyBorder="1" applyAlignment="1" applyProtection="1">
      <alignment horizontal="center"/>
      <protection hidden="1"/>
    </xf>
    <xf numFmtId="0" fontId="27" fillId="0" borderId="0" xfId="0" applyFont="1" applyBorder="1" applyAlignment="1" applyProtection="1">
      <alignment horizontal="left" vertical="top"/>
      <protection hidden="1"/>
    </xf>
    <xf numFmtId="0" fontId="14" fillId="0" borderId="0" xfId="0" applyFont="1" applyBorder="1" applyAlignment="1" applyProtection="1">
      <alignment horizontal="center" vertical="top"/>
      <protection hidden="1"/>
    </xf>
    <xf numFmtId="0" fontId="24" fillId="0" borderId="69" xfId="0" applyFont="1" applyBorder="1" applyAlignment="1" applyProtection="1">
      <alignment horizontal="left"/>
      <protection hidden="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16</xdr:row>
      <xdr:rowOff>133350</xdr:rowOff>
    </xdr:from>
    <xdr:to>
      <xdr:col>15</xdr:col>
      <xdr:colOff>19050</xdr:colOff>
      <xdr:row>17</xdr:row>
      <xdr:rowOff>19050</xdr:rowOff>
    </xdr:to>
    <xdr:sp>
      <xdr:nvSpPr>
        <xdr:cNvPr id="1" name="Right Arrow 2"/>
        <xdr:cNvSpPr>
          <a:spLocks/>
        </xdr:cNvSpPr>
      </xdr:nvSpPr>
      <xdr:spPr>
        <a:xfrm>
          <a:off x="8934450" y="5286375"/>
          <a:ext cx="1028700" cy="219075"/>
        </a:xfrm>
        <a:prstGeom prst="rightArrow">
          <a:avLst>
            <a:gd name="adj" fmla="val 39129"/>
          </a:avLst>
        </a:prstGeom>
        <a:solidFill>
          <a:srgbClr val="FF0000"/>
        </a:solidFill>
        <a:ln w="9525" cmpd="sng">
          <a:solidFill>
            <a:srgbClr val="00206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6238875" y="5514975"/>
          <a:ext cx="0" cy="28575"/>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zoomScalePageLayoutView="0" workbookViewId="0" topLeftCell="A10">
      <selection activeCell="C4" sqref="C4"/>
    </sheetView>
  </sheetViews>
  <sheetFormatPr defaultColWidth="9.140625" defaultRowHeight="15" customHeight="1"/>
  <cols>
    <col min="1" max="1" width="3.00390625" style="17" customWidth="1"/>
    <col min="2" max="2" width="12.57421875" style="33" customWidth="1"/>
    <col min="3" max="3" width="64.8515625" style="17" customWidth="1"/>
    <col min="4" max="4" width="52.8515625" style="17" customWidth="1"/>
    <col min="5" max="5" width="1.1484375" style="17" customWidth="1"/>
    <col min="6" max="6" width="40.421875" style="17" customWidth="1"/>
    <col min="7" max="7" width="16.421875" style="17" customWidth="1"/>
    <col min="8" max="8" width="14.140625" style="17" customWidth="1"/>
    <col min="9" max="16384" width="9.140625" style="17" customWidth="1"/>
  </cols>
  <sheetData>
    <row r="1" spans="2:4" ht="29.25" customHeight="1">
      <c r="B1" s="29" t="s">
        <v>95</v>
      </c>
      <c r="C1" s="16" t="s">
        <v>96</v>
      </c>
      <c r="D1" s="16" t="s">
        <v>97</v>
      </c>
    </row>
    <row r="2" spans="2:8" ht="38.25">
      <c r="B2" s="40" t="s">
        <v>56</v>
      </c>
      <c r="C2" s="18" t="s">
        <v>57</v>
      </c>
      <c r="D2" s="18" t="s">
        <v>58</v>
      </c>
      <c r="F2" s="52" t="s">
        <v>194</v>
      </c>
      <c r="G2" s="53" t="s">
        <v>195</v>
      </c>
      <c r="H2" s="54" t="s">
        <v>95</v>
      </c>
    </row>
    <row r="3" spans="2:8" ht="102">
      <c r="B3" s="30" t="s">
        <v>59</v>
      </c>
      <c r="C3" s="41" t="s">
        <v>60</v>
      </c>
      <c r="D3" s="19" t="s">
        <v>61</v>
      </c>
      <c r="F3" s="50" t="s">
        <v>196</v>
      </c>
      <c r="G3" s="51">
        <v>150000</v>
      </c>
      <c r="H3" s="55" t="s">
        <v>197</v>
      </c>
    </row>
    <row r="4" spans="2:8" ht="51">
      <c r="B4" s="531" t="s">
        <v>62</v>
      </c>
      <c r="C4" s="18" t="s">
        <v>63</v>
      </c>
      <c r="D4" s="18" t="s">
        <v>64</v>
      </c>
      <c r="F4" s="50" t="s">
        <v>198</v>
      </c>
      <c r="G4" s="51">
        <v>150000</v>
      </c>
      <c r="H4" s="55" t="s">
        <v>197</v>
      </c>
    </row>
    <row r="5" spans="2:8" ht="38.25">
      <c r="B5" s="531"/>
      <c r="C5" s="18" t="s">
        <v>65</v>
      </c>
      <c r="D5" s="41" t="s">
        <v>66</v>
      </c>
      <c r="F5" s="50" t="s">
        <v>199</v>
      </c>
      <c r="G5" s="51">
        <v>150000</v>
      </c>
      <c r="H5" s="55" t="s">
        <v>197</v>
      </c>
    </row>
    <row r="6" spans="2:8" ht="76.5">
      <c r="B6" s="30" t="s">
        <v>67</v>
      </c>
      <c r="C6" s="20" t="s">
        <v>68</v>
      </c>
      <c r="D6" s="21" t="s">
        <v>504</v>
      </c>
      <c r="F6" s="50" t="s">
        <v>200</v>
      </c>
      <c r="G6" s="51">
        <v>150000</v>
      </c>
      <c r="H6" s="55" t="s">
        <v>197</v>
      </c>
    </row>
    <row r="7" spans="2:8" ht="63.75">
      <c r="B7" s="30" t="s">
        <v>69</v>
      </c>
      <c r="C7" s="18" t="s">
        <v>98</v>
      </c>
      <c r="D7" s="22" t="s">
        <v>70</v>
      </c>
      <c r="F7" s="50" t="s">
        <v>201</v>
      </c>
      <c r="G7" s="51">
        <v>150000</v>
      </c>
      <c r="H7" s="55" t="s">
        <v>197</v>
      </c>
    </row>
    <row r="8" spans="2:8" ht="44.25" customHeight="1">
      <c r="B8" s="40" t="s">
        <v>71</v>
      </c>
      <c r="C8" s="42" t="s">
        <v>72</v>
      </c>
      <c r="D8" s="41" t="s">
        <v>73</v>
      </c>
      <c r="F8" s="50" t="s">
        <v>202</v>
      </c>
      <c r="G8" s="51">
        <v>150000</v>
      </c>
      <c r="H8" s="55" t="s">
        <v>197</v>
      </c>
    </row>
    <row r="9" spans="2:8" ht="24" customHeight="1">
      <c r="B9" s="531" t="s">
        <v>74</v>
      </c>
      <c r="C9" s="23" t="s">
        <v>75</v>
      </c>
      <c r="D9" s="534" t="s">
        <v>137</v>
      </c>
      <c r="F9" s="50" t="s">
        <v>203</v>
      </c>
      <c r="G9" s="51">
        <v>150000</v>
      </c>
      <c r="H9" s="55" t="s">
        <v>197</v>
      </c>
    </row>
    <row r="10" spans="2:8" ht="24" customHeight="1">
      <c r="B10" s="531"/>
      <c r="C10" s="24" t="s">
        <v>76</v>
      </c>
      <c r="D10" s="535"/>
      <c r="F10" s="50" t="s">
        <v>204</v>
      </c>
      <c r="G10" s="51">
        <v>150000</v>
      </c>
      <c r="H10" s="55" t="s">
        <v>197</v>
      </c>
    </row>
    <row r="11" spans="2:8" ht="25.5">
      <c r="B11" s="531"/>
      <c r="C11" s="24" t="s">
        <v>77</v>
      </c>
      <c r="D11" s="42" t="s">
        <v>99</v>
      </c>
      <c r="F11" s="50" t="s">
        <v>205</v>
      </c>
      <c r="G11" s="51">
        <v>150000</v>
      </c>
      <c r="H11" s="55" t="s">
        <v>197</v>
      </c>
    </row>
    <row r="12" spans="2:8" ht="28.5" customHeight="1">
      <c r="B12" s="531"/>
      <c r="C12" s="24" t="s">
        <v>78</v>
      </c>
      <c r="D12" s="42" t="s">
        <v>100</v>
      </c>
      <c r="F12" s="50" t="s">
        <v>206</v>
      </c>
      <c r="G12" s="51">
        <v>150000</v>
      </c>
      <c r="H12" s="55" t="s">
        <v>197</v>
      </c>
    </row>
    <row r="13" spans="2:8" ht="15">
      <c r="B13" s="31" t="s">
        <v>79</v>
      </c>
      <c r="C13" s="41" t="s">
        <v>80</v>
      </c>
      <c r="D13" s="532" t="s">
        <v>81</v>
      </c>
      <c r="F13" s="50" t="s">
        <v>207</v>
      </c>
      <c r="G13" s="51">
        <v>20000</v>
      </c>
      <c r="H13" s="55" t="s">
        <v>208</v>
      </c>
    </row>
    <row r="14" spans="2:8" ht="15">
      <c r="B14" s="32"/>
      <c r="C14" s="42" t="s">
        <v>82</v>
      </c>
      <c r="D14" s="533"/>
      <c r="F14" s="50" t="s">
        <v>209</v>
      </c>
      <c r="G14" s="51">
        <v>10000</v>
      </c>
      <c r="H14" s="55" t="s">
        <v>56</v>
      </c>
    </row>
    <row r="15" spans="2:4" ht="15">
      <c r="B15" s="32"/>
      <c r="C15" s="42" t="s">
        <v>83</v>
      </c>
      <c r="D15" s="533"/>
    </row>
    <row r="16" spans="2:10" ht="38.25">
      <c r="B16" s="32"/>
      <c r="C16" s="42" t="s">
        <v>101</v>
      </c>
      <c r="D16" s="533"/>
      <c r="F16" s="528" t="s">
        <v>549</v>
      </c>
      <c r="G16" s="529"/>
      <c r="H16" s="529"/>
      <c r="I16" s="529"/>
      <c r="J16" s="529"/>
    </row>
    <row r="17" spans="2:10" ht="15">
      <c r="B17" s="32"/>
      <c r="C17" s="42" t="s">
        <v>84</v>
      </c>
      <c r="D17" s="533"/>
      <c r="F17" s="528"/>
      <c r="G17" s="529"/>
      <c r="H17" s="529"/>
      <c r="I17" s="529"/>
      <c r="J17" s="529"/>
    </row>
    <row r="18" spans="2:10" ht="25.5">
      <c r="B18" s="32"/>
      <c r="C18" s="42" t="s">
        <v>102</v>
      </c>
      <c r="D18" s="533"/>
      <c r="F18" s="528"/>
      <c r="G18" s="529"/>
      <c r="H18" s="529"/>
      <c r="I18" s="529"/>
      <c r="J18" s="529"/>
    </row>
    <row r="19" spans="2:10" ht="25.5">
      <c r="B19" s="32"/>
      <c r="C19" s="42" t="s">
        <v>103</v>
      </c>
      <c r="D19" s="533"/>
      <c r="F19" s="528"/>
      <c r="G19" s="529"/>
      <c r="H19" s="529"/>
      <c r="I19" s="529"/>
      <c r="J19" s="529"/>
    </row>
    <row r="20" spans="2:10" ht="25.5">
      <c r="B20" s="32"/>
      <c r="C20" s="42" t="s">
        <v>104</v>
      </c>
      <c r="D20" s="533"/>
      <c r="F20" s="528"/>
      <c r="G20" s="529"/>
      <c r="H20" s="529"/>
      <c r="I20" s="529"/>
      <c r="J20" s="529"/>
    </row>
    <row r="21" spans="2:4" ht="25.5">
      <c r="B21" s="32"/>
      <c r="C21" s="42" t="s">
        <v>85</v>
      </c>
      <c r="D21" s="533"/>
    </row>
    <row r="22" spans="2:4" ht="25.5">
      <c r="B22" s="32"/>
      <c r="C22" s="42" t="s">
        <v>86</v>
      </c>
      <c r="D22" s="533"/>
    </row>
    <row r="23" spans="2:4" ht="38.25">
      <c r="B23" s="32"/>
      <c r="C23" s="42" t="s">
        <v>87</v>
      </c>
      <c r="D23" s="533"/>
    </row>
    <row r="24" spans="2:4" ht="15">
      <c r="B24" s="32"/>
      <c r="C24" s="42" t="s">
        <v>88</v>
      </c>
      <c r="D24" s="533"/>
    </row>
    <row r="25" spans="2:4" ht="25.5">
      <c r="B25" s="32"/>
      <c r="C25" s="42" t="s">
        <v>89</v>
      </c>
      <c r="D25" s="533"/>
    </row>
    <row r="26" spans="2:4" ht="15">
      <c r="B26" s="32"/>
      <c r="C26" s="42" t="s">
        <v>90</v>
      </c>
      <c r="D26" s="533"/>
    </row>
    <row r="27" spans="2:4" ht="25.5">
      <c r="B27" s="32"/>
      <c r="C27" s="42" t="s">
        <v>91</v>
      </c>
      <c r="D27" s="533"/>
    </row>
    <row r="28" spans="2:4" ht="25.5">
      <c r="B28" s="40" t="s">
        <v>92</v>
      </c>
      <c r="C28" s="25" t="s">
        <v>93</v>
      </c>
      <c r="D28" s="18" t="s">
        <v>94</v>
      </c>
    </row>
    <row r="32" spans="2:18" ht="15" customHeight="1">
      <c r="B32" s="536" t="s">
        <v>105</v>
      </c>
      <c r="C32" s="536"/>
      <c r="D32" s="536"/>
      <c r="E32" s="26"/>
      <c r="F32" s="26"/>
      <c r="G32" s="26"/>
      <c r="H32" s="26"/>
      <c r="I32" s="26"/>
      <c r="J32" s="26"/>
      <c r="K32" s="26"/>
      <c r="L32" s="26"/>
      <c r="M32" s="26"/>
      <c r="N32" s="26"/>
      <c r="O32" s="26"/>
      <c r="P32" s="26"/>
      <c r="Q32" s="26"/>
      <c r="R32" s="26"/>
    </row>
    <row r="33" spans="2:18" ht="15" customHeight="1">
      <c r="B33" s="536"/>
      <c r="C33" s="536"/>
      <c r="D33" s="536"/>
      <c r="E33" s="26"/>
      <c r="F33" s="26"/>
      <c r="G33" s="26"/>
      <c r="H33" s="26"/>
      <c r="I33" s="26"/>
      <c r="J33" s="26"/>
      <c r="K33" s="26"/>
      <c r="L33" s="26"/>
      <c r="M33" s="26"/>
      <c r="N33" s="26"/>
      <c r="O33" s="26"/>
      <c r="P33" s="26"/>
      <c r="Q33" s="26"/>
      <c r="R33" s="26"/>
    </row>
    <row r="34" spans="2:4" ht="15">
      <c r="B34" s="34"/>
      <c r="C34" s="34"/>
      <c r="D34" s="34"/>
    </row>
    <row r="35" spans="2:5" ht="33" customHeight="1">
      <c r="B35" s="537" t="s">
        <v>138</v>
      </c>
      <c r="C35" s="537"/>
      <c r="D35" s="537"/>
      <c r="E35" s="27"/>
    </row>
    <row r="36" spans="2:4" ht="15">
      <c r="B36" s="35" t="s">
        <v>106</v>
      </c>
      <c r="C36" s="34"/>
      <c r="D36" s="34"/>
    </row>
    <row r="37" spans="2:4" ht="15">
      <c r="B37" s="34" t="s">
        <v>107</v>
      </c>
      <c r="C37" s="34"/>
      <c r="D37" s="34"/>
    </row>
    <row r="38" spans="2:4" ht="15">
      <c r="B38" s="34" t="s">
        <v>108</v>
      </c>
      <c r="C38" s="34"/>
      <c r="D38" s="34"/>
    </row>
    <row r="39" spans="2:4" ht="15">
      <c r="B39" s="34" t="s">
        <v>109</v>
      </c>
      <c r="C39" s="34"/>
      <c r="D39" s="34"/>
    </row>
    <row r="40" spans="2:4" ht="15">
      <c r="B40" s="34" t="s">
        <v>110</v>
      </c>
      <c r="C40" s="34"/>
      <c r="D40" s="34"/>
    </row>
    <row r="41" spans="2:4" ht="15">
      <c r="B41" s="34" t="s">
        <v>111</v>
      </c>
      <c r="C41" s="34"/>
      <c r="D41" s="34"/>
    </row>
    <row r="42" spans="2:4" ht="15">
      <c r="B42" s="34" t="s">
        <v>112</v>
      </c>
      <c r="C42" s="34"/>
      <c r="D42" s="34"/>
    </row>
    <row r="43" spans="2:4" ht="15">
      <c r="B43" s="34" t="s">
        <v>113</v>
      </c>
      <c r="C43" s="34"/>
      <c r="D43" s="34"/>
    </row>
    <row r="44" spans="2:4" ht="15">
      <c r="B44" s="34" t="s">
        <v>114</v>
      </c>
      <c r="C44" s="34"/>
      <c r="D44" s="34"/>
    </row>
    <row r="45" spans="2:5" ht="47.25" customHeight="1">
      <c r="B45" s="530" t="s">
        <v>115</v>
      </c>
      <c r="C45" s="530"/>
      <c r="D45" s="530"/>
      <c r="E45" s="28"/>
    </row>
    <row r="46" spans="2:4" ht="32.25" customHeight="1">
      <c r="B46" s="530" t="s">
        <v>116</v>
      </c>
      <c r="C46" s="530"/>
      <c r="D46" s="530"/>
    </row>
    <row r="47" spans="2:14" ht="35.25" customHeight="1">
      <c r="B47" s="530" t="s">
        <v>117</v>
      </c>
      <c r="C47" s="530"/>
      <c r="D47" s="530"/>
      <c r="E47" s="28"/>
      <c r="F47" s="28"/>
      <c r="G47" s="28"/>
      <c r="H47" s="28"/>
      <c r="I47" s="28"/>
      <c r="J47" s="28"/>
      <c r="K47" s="28"/>
      <c r="L47" s="28"/>
      <c r="M47" s="28"/>
      <c r="N47" s="28"/>
    </row>
    <row r="48" spans="2:4" ht="15">
      <c r="B48" s="34" t="s">
        <v>118</v>
      </c>
      <c r="C48" s="34"/>
      <c r="D48" s="34"/>
    </row>
    <row r="49" spans="2:4" ht="15">
      <c r="B49" s="34" t="s">
        <v>119</v>
      </c>
      <c r="C49" s="34"/>
      <c r="D49" s="34"/>
    </row>
    <row r="50" spans="2:4" ht="15">
      <c r="B50" s="34" t="s">
        <v>120</v>
      </c>
      <c r="C50" s="34"/>
      <c r="D50" s="34"/>
    </row>
    <row r="51" spans="2:4" ht="15">
      <c r="B51" s="34" t="s">
        <v>121</v>
      </c>
      <c r="C51" s="34"/>
      <c r="D51" s="34"/>
    </row>
    <row r="52" spans="2:4" ht="15">
      <c r="B52" s="34" t="s">
        <v>122</v>
      </c>
      <c r="C52" s="34"/>
      <c r="D52" s="34"/>
    </row>
    <row r="53" spans="2:4" ht="15">
      <c r="B53" s="34" t="s">
        <v>123</v>
      </c>
      <c r="C53" s="34"/>
      <c r="D53" s="34"/>
    </row>
    <row r="54" spans="2:4" ht="15">
      <c r="B54" s="34" t="s">
        <v>135</v>
      </c>
      <c r="C54" s="34"/>
      <c r="D54" s="34"/>
    </row>
    <row r="55" spans="2:4" ht="15">
      <c r="B55" s="34" t="s">
        <v>134</v>
      </c>
      <c r="C55" s="34"/>
      <c r="D55" s="34"/>
    </row>
    <row r="56" spans="2:4" ht="32.25" customHeight="1">
      <c r="B56" s="530" t="s">
        <v>124</v>
      </c>
      <c r="C56" s="530"/>
      <c r="D56" s="530"/>
    </row>
    <row r="57" spans="2:4" ht="15">
      <c r="B57" s="34" t="s">
        <v>125</v>
      </c>
      <c r="C57" s="34"/>
      <c r="D57" s="34"/>
    </row>
    <row r="58" spans="2:4" ht="15">
      <c r="B58" s="34" t="s">
        <v>126</v>
      </c>
      <c r="C58" s="34"/>
      <c r="D58" s="34"/>
    </row>
    <row r="59" spans="2:4" ht="15">
      <c r="B59" s="34" t="s">
        <v>127</v>
      </c>
      <c r="C59" s="34"/>
      <c r="D59" s="34"/>
    </row>
    <row r="60" spans="2:4" ht="30" customHeight="1">
      <c r="B60" s="530" t="s">
        <v>128</v>
      </c>
      <c r="C60" s="530"/>
      <c r="D60" s="530"/>
    </row>
    <row r="61" spans="2:4" ht="34.5" customHeight="1">
      <c r="B61" s="530" t="s">
        <v>129</v>
      </c>
      <c r="C61" s="530"/>
      <c r="D61" s="530"/>
    </row>
    <row r="62" spans="2:4" ht="15">
      <c r="B62" s="34" t="s">
        <v>130</v>
      </c>
      <c r="C62" s="34"/>
      <c r="D62" s="34"/>
    </row>
    <row r="63" spans="2:18" ht="46.5" customHeight="1">
      <c r="B63" s="530" t="s">
        <v>131</v>
      </c>
      <c r="C63" s="530"/>
      <c r="D63" s="530"/>
      <c r="E63" s="28"/>
      <c r="F63" s="28"/>
      <c r="G63" s="28"/>
      <c r="H63" s="28"/>
      <c r="I63" s="28"/>
      <c r="J63" s="28"/>
      <c r="K63" s="28"/>
      <c r="L63" s="28"/>
      <c r="M63" s="28"/>
      <c r="N63" s="28"/>
      <c r="O63" s="28"/>
      <c r="P63" s="28"/>
      <c r="Q63" s="28"/>
      <c r="R63" s="28"/>
    </row>
    <row r="64" spans="2:4" ht="36" customHeight="1">
      <c r="B64" s="530" t="s">
        <v>136</v>
      </c>
      <c r="C64" s="530"/>
      <c r="D64" s="530"/>
    </row>
    <row r="65" spans="2:4" ht="33.75" customHeight="1">
      <c r="B65" s="530" t="s">
        <v>132</v>
      </c>
      <c r="C65" s="530"/>
      <c r="D65" s="530"/>
    </row>
    <row r="66" spans="2:4" ht="34.5" customHeight="1">
      <c r="B66" s="530" t="s">
        <v>133</v>
      </c>
      <c r="C66" s="530"/>
      <c r="D66" s="530"/>
    </row>
  </sheetData>
  <sheetProtection formatCells="0" formatColumns="0" formatRows="0" insertColumns="0" insertRows="0" insertHyperlinks="0" deleteColumns="0" deleteRows="0" sort="0" autoFilter="0" pivotTables="0"/>
  <mergeCells count="17">
    <mergeCell ref="B65:D65"/>
    <mergeCell ref="B66:D66"/>
    <mergeCell ref="B4:B5"/>
    <mergeCell ref="B46:D46"/>
    <mergeCell ref="B47:D47"/>
    <mergeCell ref="B56:D56"/>
    <mergeCell ref="B60:D60"/>
    <mergeCell ref="B61:D61"/>
    <mergeCell ref="B35:D35"/>
    <mergeCell ref="B45:D45"/>
    <mergeCell ref="F16:J20"/>
    <mergeCell ref="B63:D63"/>
    <mergeCell ref="B64:D64"/>
    <mergeCell ref="B9:B12"/>
    <mergeCell ref="D13:D27"/>
    <mergeCell ref="D9:D10"/>
    <mergeCell ref="B32: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2"/>
  <sheetViews>
    <sheetView showGridLines="0" showRowColHeaders="0" tabSelected="1" zoomScale="85" zoomScaleNormal="85" zoomScalePageLayoutView="0" workbookViewId="0" topLeftCell="A1">
      <selection activeCell="I28" sqref="I28:M28"/>
    </sheetView>
  </sheetViews>
  <sheetFormatPr defaultColWidth="0" defaultRowHeight="0" customHeight="1" zeroHeight="1"/>
  <cols>
    <col min="1" max="1" width="2.421875" style="331" customWidth="1"/>
    <col min="2" max="2" width="19.7109375" style="471" customWidth="1"/>
    <col min="3" max="3" width="10.140625" style="471" customWidth="1"/>
    <col min="4" max="4" width="8.00390625" style="471" customWidth="1"/>
    <col min="5" max="5" width="7.421875" style="471" customWidth="1"/>
    <col min="6" max="6" width="6.7109375" style="471" customWidth="1"/>
    <col min="7" max="7" width="7.421875" style="471" customWidth="1"/>
    <col min="8" max="8" width="11.7109375" style="471" customWidth="1"/>
    <col min="9" max="9" width="14.00390625" style="471" customWidth="1"/>
    <col min="10" max="10" width="7.57421875" style="471" customWidth="1"/>
    <col min="11" max="11" width="9.57421875" style="471" customWidth="1"/>
    <col min="12" max="12" width="8.421875" style="471" customWidth="1"/>
    <col min="13" max="13" width="18.28125" style="471" customWidth="1"/>
    <col min="14" max="14" width="8.57421875" style="331" customWidth="1"/>
    <col min="15" max="15" width="9.140625" style="331" customWidth="1"/>
    <col min="16" max="16" width="8.28125" style="338" customWidth="1"/>
    <col min="17" max="100" width="10.140625" style="337" hidden="1" customWidth="1"/>
    <col min="101" max="194" width="4.7109375" style="337" hidden="1" customWidth="1"/>
    <col min="195" max="16384" width="4.7109375" style="338" hidden="1" customWidth="1"/>
  </cols>
  <sheetData>
    <row r="1" spans="1:16" ht="12" customHeight="1">
      <c r="A1" s="334"/>
      <c r="B1" s="334"/>
      <c r="C1" s="335"/>
      <c r="D1" s="335"/>
      <c r="E1" s="335"/>
      <c r="F1" s="334"/>
      <c r="G1" s="334"/>
      <c r="H1" s="334"/>
      <c r="I1" s="334"/>
      <c r="J1" s="334"/>
      <c r="K1" s="334"/>
      <c r="L1" s="334"/>
      <c r="M1" s="334"/>
      <c r="N1" s="334"/>
      <c r="O1" s="334"/>
      <c r="P1" s="336"/>
    </row>
    <row r="2" spans="1:46" ht="26.25" customHeight="1" thickBot="1">
      <c r="A2" s="38"/>
      <c r="B2" s="603" t="s">
        <v>552</v>
      </c>
      <c r="C2" s="604"/>
      <c r="D2" s="605"/>
      <c r="E2" s="605"/>
      <c r="F2" s="605"/>
      <c r="G2" s="605"/>
      <c r="H2" s="605"/>
      <c r="I2" s="605"/>
      <c r="J2" s="605"/>
      <c r="K2" s="605"/>
      <c r="L2" s="605"/>
      <c r="M2" s="605"/>
      <c r="N2" s="605"/>
      <c r="O2" s="605"/>
      <c r="P2" s="606"/>
      <c r="Z2" s="337">
        <v>1</v>
      </c>
      <c r="AA2" s="337" t="str">
        <f>VLOOKUP(Z2,AA3:AB18,2,0)</f>
        <v>SA</v>
      </c>
      <c r="AB2" s="337">
        <v>6</v>
      </c>
      <c r="AC2" s="337" t="str">
        <f>VLOOKUP(AB2,AA3:AC18,3,0)</f>
        <v>(Maths)</v>
      </c>
      <c r="AF2" s="337" t="s">
        <v>168</v>
      </c>
      <c r="AG2" s="337">
        <f>AB169</f>
        <v>16150</v>
      </c>
      <c r="AP2" s="337">
        <v>1</v>
      </c>
      <c r="AQ2" s="337">
        <v>2</v>
      </c>
      <c r="AR2" s="337">
        <v>3</v>
      </c>
      <c r="AS2" s="337">
        <v>4</v>
      </c>
      <c r="AT2" s="337">
        <v>5</v>
      </c>
    </row>
    <row r="3" spans="1:53" ht="26.25" customHeight="1" thickBot="1">
      <c r="A3" s="38"/>
      <c r="B3" s="306" t="s">
        <v>170</v>
      </c>
      <c r="C3" s="304"/>
      <c r="D3" s="610" t="s">
        <v>614</v>
      </c>
      <c r="E3" s="611"/>
      <c r="F3" s="611"/>
      <c r="G3" s="611"/>
      <c r="H3" s="611"/>
      <c r="I3" s="612"/>
      <c r="J3" s="613" t="s">
        <v>175</v>
      </c>
      <c r="K3" s="614"/>
      <c r="L3" s="607" t="s">
        <v>17</v>
      </c>
      <c r="M3" s="608"/>
      <c r="N3" s="608"/>
      <c r="O3" s="608"/>
      <c r="P3" s="609"/>
      <c r="AA3" s="337">
        <v>1</v>
      </c>
      <c r="AB3" s="337" t="s">
        <v>33</v>
      </c>
      <c r="AC3" s="337" t="str">
        <f>IF(Z2&lt;=2,"(Telugu)","")</f>
        <v>(Telugu)</v>
      </c>
      <c r="AF3" s="337" t="s">
        <v>169</v>
      </c>
      <c r="AG3" s="337">
        <f>AB171</f>
        <v>16150</v>
      </c>
      <c r="AN3" s="337">
        <v>2</v>
      </c>
      <c r="AO3" s="384" t="s">
        <v>516</v>
      </c>
      <c r="AP3" s="337">
        <f>IF(AN3&gt;=AG5,AH5,AG3)</f>
        <v>16150</v>
      </c>
      <c r="AQ3" s="337">
        <f>IF(AN3&gt;=AG5,AI5,AG3)</f>
        <v>16150</v>
      </c>
      <c r="AR3" s="337">
        <f>AG3</f>
        <v>16150</v>
      </c>
      <c r="AS3" s="337">
        <f>AG3</f>
        <v>16150</v>
      </c>
      <c r="AT3" s="337">
        <f>AG3</f>
        <v>16150</v>
      </c>
      <c r="AZ3" s="337">
        <v>1</v>
      </c>
      <c r="BA3" s="339" t="s">
        <v>257</v>
      </c>
    </row>
    <row r="4" spans="1:53" ht="26.25" customHeight="1" thickBot="1">
      <c r="A4" s="38"/>
      <c r="B4" s="5" t="s">
        <v>23</v>
      </c>
      <c r="C4" s="616" t="s">
        <v>615</v>
      </c>
      <c r="D4" s="617"/>
      <c r="E4" s="617"/>
      <c r="F4" s="617"/>
      <c r="G4" s="617"/>
      <c r="H4" s="617"/>
      <c r="I4" s="618"/>
      <c r="J4" s="566" t="s">
        <v>37</v>
      </c>
      <c r="K4" s="568"/>
      <c r="L4" s="607" t="s">
        <v>616</v>
      </c>
      <c r="M4" s="608"/>
      <c r="N4" s="608"/>
      <c r="O4" s="608"/>
      <c r="P4" s="609"/>
      <c r="Z4" s="337" t="str">
        <f>L3</f>
        <v>SGT</v>
      </c>
      <c r="AA4" s="337">
        <v>2</v>
      </c>
      <c r="AB4" s="337" t="s">
        <v>35</v>
      </c>
      <c r="AC4" s="337" t="str">
        <f>IF(Z2&lt;=2,"(Hindi)","")</f>
        <v>(Hindi)</v>
      </c>
      <c r="AH4" s="337" t="s">
        <v>176</v>
      </c>
      <c r="AJ4" s="337" t="s">
        <v>177</v>
      </c>
      <c r="AK4" s="337" t="s">
        <v>179</v>
      </c>
      <c r="AL4" s="337" t="s">
        <v>178</v>
      </c>
      <c r="AN4" s="337">
        <v>3</v>
      </c>
      <c r="AO4" s="384" t="s">
        <v>525</v>
      </c>
      <c r="AP4" s="337">
        <f>IF(AND(AN4&gt;AG7),AH7,IF(AND(AN4&gt;AG6),AH6,IF(AND(AN4&gt;=AG5),AH5,AG3)))</f>
        <v>16150</v>
      </c>
      <c r="AQ4" s="337">
        <f>IF(AND(AN4&gt;AG6),AI6,IF(AND(AN4&gt;AG7),AI7,IF(AND(AN4&gt;=AG5),AI5,AG3)))</f>
        <v>16150</v>
      </c>
      <c r="AR4" s="337">
        <f>IF(AND(AN4&gt;AG7),AJ7,IF(AND(AN4&gt;=AG5),AJ5,IF(AND(AN4&gt;AG6),AJ6,AG3)))</f>
        <v>16150</v>
      </c>
      <c r="AS4" s="337">
        <f>IF(AND(AN4&gt;=AG5),AK5,IF(AND(AN4&gt;AG7),AK7,IF(AND(AN4&gt;AG6),AK6,AG3)))</f>
        <v>16150</v>
      </c>
      <c r="AT4" s="337">
        <f>IF(AND(AN4&gt;AG6),AL6,IF(AND(AN4&gt;=AG5),AL5,IF(AND(AN4&gt;AG7),AL7,AG3)))</f>
        <v>16150</v>
      </c>
      <c r="AZ4" s="337">
        <v>2</v>
      </c>
      <c r="BA4" s="339" t="s">
        <v>210</v>
      </c>
    </row>
    <row r="5" spans="1:53" ht="26.25" customHeight="1" thickBot="1">
      <c r="A5" s="38"/>
      <c r="B5" s="301" t="s">
        <v>572</v>
      </c>
      <c r="C5" s="303"/>
      <c r="D5" s="303"/>
      <c r="E5" s="622" t="s">
        <v>573</v>
      </c>
      <c r="F5" s="623"/>
      <c r="G5" s="623"/>
      <c r="H5" s="489"/>
      <c r="I5" s="490" t="s">
        <v>610</v>
      </c>
      <c r="J5" s="478">
        <v>90</v>
      </c>
      <c r="K5" s="6" t="s">
        <v>7</v>
      </c>
      <c r="L5" s="478">
        <v>0</v>
      </c>
      <c r="M5" s="491" t="s">
        <v>45</v>
      </c>
      <c r="N5" s="478">
        <v>0</v>
      </c>
      <c r="O5" s="6" t="s">
        <v>46</v>
      </c>
      <c r="P5" s="483">
        <v>0</v>
      </c>
      <c r="AA5" s="337">
        <v>3</v>
      </c>
      <c r="AB5" s="337" t="s">
        <v>17</v>
      </c>
      <c r="AC5" s="337" t="str">
        <f>IF(Z2&lt;=2,"(Urdu)","")</f>
        <v>(Urdu)</v>
      </c>
      <c r="AF5" s="337" t="s">
        <v>174</v>
      </c>
      <c r="AG5" s="337">
        <f>IF(AA57=1,25,AA57)</f>
        <v>7</v>
      </c>
      <c r="AH5" s="337">
        <f>VLOOKUP(AG3,AE86:AF165,2,0)</f>
        <v>16600</v>
      </c>
      <c r="AI5" s="337">
        <f>VLOOKUP(AG3,AE86:AF165,2,0)</f>
        <v>16600</v>
      </c>
      <c r="AJ5" s="337">
        <f>VLOOKUP(AJ6,AE86:AF165,2,0)</f>
        <v>17050</v>
      </c>
      <c r="AK5" s="337">
        <f>VLOOKUP(AK7,AE86:AF165,2,0)</f>
        <v>17540</v>
      </c>
      <c r="AL5" s="340">
        <f>IF(AND(Z2=1,AG3=14050),15280,IF(AND(Z2=6,AG3=14050),15280,IF(AND(Z2=5,AG3=17050),18520,IF(T104=1,VLOOKUP(AL7,AE86:AG165,2,0),VLOOKUP(AL7,AE86:AG165,3,0)))))</f>
        <v>17540</v>
      </c>
      <c r="AN5" s="337">
        <v>4</v>
      </c>
      <c r="AO5" s="384" t="s">
        <v>526</v>
      </c>
      <c r="AP5" s="337">
        <f>IF(AND(AN5&gt;AG7),AH7,IF(AND(AN5&gt;AG6),AH6,IF(AND(AN5&gt;=AG5),AH5,AG3)))</f>
        <v>16150</v>
      </c>
      <c r="AQ5" s="337">
        <f>IF(AND(AN5&gt;AG6),AI6,IF(AND(AN5&gt;AG7),AI7,IF(AND(AN5&gt;=AG5),AI5,AG3)))</f>
        <v>16150</v>
      </c>
      <c r="AR5" s="337">
        <f>IF(AND(AN5&gt;AG7),AJ7,IF(AND(AN5&gt;=AG5),AJ5,IF(AND(AN5&gt;AG6),AJ6,AG3)))</f>
        <v>16150</v>
      </c>
      <c r="AS5" s="337">
        <f>IF(AND(AN5&gt;=AG5),AK5,IF(AND(AN5&gt;AG7),AK7,IF(AND(AN5&gt;AG6),AK6,AG3)))</f>
        <v>16150</v>
      </c>
      <c r="AT5" s="337">
        <f>IF(AND(AN5&gt;AG6),AL6,IF(AND(AN5&gt;=AG5),AL5,IF(AND(AN5&gt;AG7),AL7,AG3)))</f>
        <v>16150</v>
      </c>
      <c r="AZ5" s="337">
        <v>3</v>
      </c>
      <c r="BA5" s="339" t="s">
        <v>211</v>
      </c>
    </row>
    <row r="6" spans="1:53" ht="26.25" customHeight="1" thickBot="1">
      <c r="A6" s="38"/>
      <c r="B6" s="6" t="s">
        <v>47</v>
      </c>
      <c r="C6" s="10"/>
      <c r="D6" s="316"/>
      <c r="E6" s="624" t="s">
        <v>515</v>
      </c>
      <c r="F6" s="625"/>
      <c r="G6" s="625"/>
      <c r="H6" s="625"/>
      <c r="I6" s="626"/>
      <c r="J6" s="10"/>
      <c r="K6" s="2"/>
      <c r="L6" s="12"/>
      <c r="M6" s="492" t="s">
        <v>6</v>
      </c>
      <c r="N6" s="15"/>
      <c r="O6" s="219" t="s">
        <v>48</v>
      </c>
      <c r="P6" s="341"/>
      <c r="AA6" s="337">
        <v>4</v>
      </c>
      <c r="AB6" s="337" t="s">
        <v>18</v>
      </c>
      <c r="AC6" s="337" t="str">
        <f>IF(Z2&lt;=2,"(                    )","")</f>
        <v>(                    )</v>
      </c>
      <c r="AF6" s="337" t="s">
        <v>150</v>
      </c>
      <c r="AG6" s="337">
        <f>IF(AA72=2,25,AA74+1)</f>
        <v>25</v>
      </c>
      <c r="AH6" s="337">
        <f>VLOOKUP(AH5,AE86:AF165,2,0)</f>
        <v>17050</v>
      </c>
      <c r="AI6" s="337">
        <f>VLOOKUP(AI7,AE86:AF165,2,0)</f>
        <v>17540</v>
      </c>
      <c r="AJ6" s="337">
        <f>VLOOKUP(AG3,AE86:AF165,2,0)</f>
        <v>16600</v>
      </c>
      <c r="AK6" s="337">
        <f>VLOOKUP(AG3,AE86:AF165,2,0)</f>
        <v>16600</v>
      </c>
      <c r="AL6" s="340">
        <f>VLOOKUP(AL5,AE86:AF165,2,0)</f>
        <v>18030</v>
      </c>
      <c r="AN6" s="337">
        <v>5</v>
      </c>
      <c r="AO6" s="384" t="s">
        <v>527</v>
      </c>
      <c r="AP6" s="337">
        <f>IF(AND(AN6&gt;AG7),AH7,IF(AND(AN6&gt;AG6),AH6,IF(AND(AN6&gt;=AG5),AH5,AG3)))</f>
        <v>16150</v>
      </c>
      <c r="AQ6" s="337">
        <f>IF(AND(AN6&gt;AG6),AI6,IF(AND(AN6&gt;AG7),AI7,IF(AND(AN6&gt;=AG5),AI5,AG3)))</f>
        <v>16150</v>
      </c>
      <c r="AR6" s="337">
        <f>IF(AND(AN6&gt;AG7),AJ7,IF(AND(AN6&gt;=AG5),AJ5,IF(AND(AN6&gt;AG6),AJ6,AG3)))</f>
        <v>16150</v>
      </c>
      <c r="AS6" s="337">
        <f>IF(AND(AN6&gt;=AG5),AK5,IF(AND(AN6&gt;AG7),AK7,IF(AND(AN6&gt;AG6),AK6,AG3)))</f>
        <v>16150</v>
      </c>
      <c r="AT6" s="337">
        <f>IF(AND(AN6&gt;AG6),AL6,IF(AND(AN6&gt;=AG5),AL5,IF(AND(AN6&gt;AG7),AL7,AG3)))</f>
        <v>16150</v>
      </c>
      <c r="AZ6" s="337">
        <v>4</v>
      </c>
      <c r="BA6" s="339" t="s">
        <v>212</v>
      </c>
    </row>
    <row r="7" spans="1:53" ht="26.25" customHeight="1" thickBot="1">
      <c r="A7" s="38"/>
      <c r="B7" s="7" t="s">
        <v>49</v>
      </c>
      <c r="C7" s="14"/>
      <c r="D7" s="577" t="s">
        <v>50</v>
      </c>
      <c r="E7" s="602"/>
      <c r="F7" s="602"/>
      <c r="G7" s="578"/>
      <c r="H7" s="317"/>
      <c r="I7" s="318"/>
      <c r="J7" s="4"/>
      <c r="K7" s="591" t="s">
        <v>51</v>
      </c>
      <c r="L7" s="615"/>
      <c r="M7" s="615"/>
      <c r="N7" s="592"/>
      <c r="O7" s="1"/>
      <c r="P7" s="341"/>
      <c r="AA7" s="337">
        <v>5</v>
      </c>
      <c r="AB7" s="337" t="s">
        <v>34</v>
      </c>
      <c r="AC7" s="337" t="str">
        <f>IF(Z2=1,"(English)","")</f>
        <v>(English)</v>
      </c>
      <c r="AF7" s="337" t="s">
        <v>151</v>
      </c>
      <c r="AG7" s="337">
        <f>IF(U83=2,25,W86+1)</f>
        <v>25</v>
      </c>
      <c r="AH7" s="337">
        <f>MAX(AF8,AG8)</f>
        <v>17540</v>
      </c>
      <c r="AI7" s="337">
        <f>MAX(AF9,AG8)</f>
        <v>17050</v>
      </c>
      <c r="AJ7" s="337">
        <f>MAX(AF10,AG8)</f>
        <v>17540</v>
      </c>
      <c r="AK7" s="337">
        <f>MAX(AF14,AG8)</f>
        <v>17050</v>
      </c>
      <c r="AL7" s="342">
        <f>MAX(AF15,AG8)</f>
        <v>16600</v>
      </c>
      <c r="AN7" s="337">
        <v>6</v>
      </c>
      <c r="AO7" s="384" t="s">
        <v>528</v>
      </c>
      <c r="AP7" s="337">
        <f>IF(AND(AN7&gt;AG7),AH7,IF(AND(AN7&gt;AG6),AH6,IF(AND(AN7&gt;=AG5),AH5,AG3)))</f>
        <v>16150</v>
      </c>
      <c r="AQ7" s="337">
        <f>IF(AND(AN7&gt;AG6),AI6,IF(AND(AN7&gt;AG7),AI7,IF(AND(AN7&gt;=AG5),AI5,AG3)))</f>
        <v>16150</v>
      </c>
      <c r="AR7" s="337">
        <f>IF(AND(AN7&gt;AG7),AJ7,IF(AND(AN7&gt;=AG5),AJ5,IF(AND(AN7&gt;AG6),AJ6,AG3)))</f>
        <v>16150</v>
      </c>
      <c r="AS7" s="337">
        <f>IF(AND(AN7&gt;=AG5),AK5,IF(AND(AN7&gt;AG7),AK7,IF(AND(AN7&gt;AG6),AK6,AG3)))</f>
        <v>16150</v>
      </c>
      <c r="AT7" s="337">
        <f>IF(AND(AN7&gt;AG6),AL6,IF(AND(AN7&gt;=AG5),AL5,IF(AND(AN7&gt;AG7),AL7,AG3)))</f>
        <v>16150</v>
      </c>
      <c r="AZ7" s="337">
        <v>5</v>
      </c>
      <c r="BA7" s="339" t="s">
        <v>213</v>
      </c>
    </row>
    <row r="8" spans="1:53" ht="26.25" customHeight="1" thickBot="1">
      <c r="A8" s="38"/>
      <c r="B8" s="6" t="s">
        <v>52</v>
      </c>
      <c r="C8" s="49"/>
      <c r="D8" s="540" t="s">
        <v>38</v>
      </c>
      <c r="E8" s="541"/>
      <c r="F8" s="541"/>
      <c r="G8" s="541"/>
      <c r="H8" s="541"/>
      <c r="I8" s="542"/>
      <c r="J8" s="593" t="s">
        <v>53</v>
      </c>
      <c r="K8" s="594"/>
      <c r="L8" s="302"/>
      <c r="M8" s="600" t="s">
        <v>598</v>
      </c>
      <c r="N8" s="601"/>
      <c r="O8" s="4"/>
      <c r="P8" s="343"/>
      <c r="AA8" s="337">
        <v>6</v>
      </c>
      <c r="AB8" s="337" t="s">
        <v>497</v>
      </c>
      <c r="AC8" s="337" t="str">
        <f>IF(Z2=1,"(Maths)","")</f>
        <v>(Maths)</v>
      </c>
      <c r="AF8" s="337">
        <f>IF(T104=2,VLOOKUP(AH6,AE86:AG165,2,0),VLOOKUP(AH6,AE86:AG165,3,0))</f>
        <v>17540</v>
      </c>
      <c r="AG8" s="337">
        <f>IF(Z2=5,18030,IF(Z2=1,14860,IF(Z2=6,14860,0)))</f>
        <v>14860</v>
      </c>
      <c r="AH8" s="337">
        <f>IF(AND(AG7&lt;AG5,AG5&lt;=AG6),5,IF(AND(AG5&lt;=AG6,AG7&lt;=AG6),2,IF(AND(AG5&lt;=AG6,AG5&lt;=AG7),1,IF(AND(AG6&lt;AG5,AG7&lt;AG5),4,IF(AND(AG6&lt;AG5,AG6&lt;=AG7),3)))))</f>
        <v>2</v>
      </c>
      <c r="AJ8" s="344"/>
      <c r="AN8" s="337">
        <v>7</v>
      </c>
      <c r="AO8" s="384" t="s">
        <v>529</v>
      </c>
      <c r="AP8" s="337">
        <f>IF(AND(AN8&gt;AG7),AH7,IF(AND(AN8&gt;AG6),AH6,IF(AND(AN8&gt;=AG5),AH5,AG3)))</f>
        <v>16600</v>
      </c>
      <c r="AQ8" s="337">
        <f>IF(AND(AN8&gt;AG6),AI6,IF(AND(AN8&gt;AG7),AI7,IF(AND(AN8&gt;=AG5),AI5,AG3)))</f>
        <v>16600</v>
      </c>
      <c r="AR8" s="337">
        <f>IF(AND(AN8&gt;AG7),AJ7,IF(AND(AN8&gt;=AG5),AJ5,IF(AND(AN8&gt;AG6),AJ6,AG3)))</f>
        <v>17050</v>
      </c>
      <c r="AS8" s="337">
        <f>IF(AND(AN8&gt;=AG5),AK5,IF(AND(AN8&gt;AG7),AK7,IF(AND(AN8&gt;AG6),AK6,AG3)))</f>
        <v>17540</v>
      </c>
      <c r="AT8" s="337">
        <f>IF(AND(AN8&gt;AG6),AL6,IF(AND(AN8&gt;=AG5),AL5,IF(AND(AN8&gt;AG7),AL7,AG3)))</f>
        <v>17540</v>
      </c>
      <c r="AZ8" s="337">
        <v>6</v>
      </c>
      <c r="BA8" s="339" t="s">
        <v>214</v>
      </c>
    </row>
    <row r="9" spans="1:53" ht="26.25" customHeight="1" thickBot="1">
      <c r="A9" s="38"/>
      <c r="B9" s="8" t="s">
        <v>54</v>
      </c>
      <c r="C9" s="480">
        <v>0</v>
      </c>
      <c r="D9" s="577" t="s">
        <v>55</v>
      </c>
      <c r="E9" s="602"/>
      <c r="F9" s="602"/>
      <c r="G9" s="619"/>
      <c r="H9" s="1"/>
      <c r="I9" s="1"/>
      <c r="J9" s="577" t="s">
        <v>185</v>
      </c>
      <c r="K9" s="578"/>
      <c r="L9" s="478">
        <v>0</v>
      </c>
      <c r="M9" s="589" t="s">
        <v>192</v>
      </c>
      <c r="N9" s="590"/>
      <c r="O9" s="590"/>
      <c r="P9" s="483">
        <v>0</v>
      </c>
      <c r="AA9" s="337">
        <v>7</v>
      </c>
      <c r="AB9" s="337" t="s">
        <v>145</v>
      </c>
      <c r="AC9" s="337" t="str">
        <f>IF(Z2=1,"(Phy.Sci.)","")</f>
        <v>(Phy.Sci.)</v>
      </c>
      <c r="AF9" s="337">
        <f>IF(T104=2,VLOOKUP(AI5,AE86:AG165,2,0),VLOOKUP(AI5,AE86:AG165,3,0))</f>
        <v>17050</v>
      </c>
      <c r="AJ9" s="344"/>
      <c r="AN9" s="337">
        <v>8</v>
      </c>
      <c r="AO9" s="384" t="s">
        <v>530</v>
      </c>
      <c r="AP9" s="337">
        <f>IF(AND(AN9&gt;AG7),AH7,IF(AND(AN9&gt;AG6),AH6,IF(AND(AN9&gt;=AG5),AH5,AG3)))</f>
        <v>16600</v>
      </c>
      <c r="AQ9" s="337">
        <f>IF(AND(AN9&gt;AG6),AI6,IF(AND(AN9&gt;AG7),AI7,IF(AND(AN9&gt;=AG5),AI5,AG3)))</f>
        <v>16600</v>
      </c>
      <c r="AR9" s="337">
        <f>IF(AND(AN9&gt;AG7),AJ7,IF(AND(AN9&gt;=AG5),AJ5,IF(AND(AN9&gt;AG6),AJ6,AG3)))</f>
        <v>17050</v>
      </c>
      <c r="AS9" s="337">
        <f>IF(AND(AN9&gt;=AG5),AK5,IF(AND(AN9&gt;AG7),AK7,IF(AND(AN9&gt;AG6),AK6,AG3)))</f>
        <v>17540</v>
      </c>
      <c r="AT9" s="337">
        <f>IF(AND(AN9&gt;AG6),AL6,IF(AND(AN9&gt;=AG5),AL5,IF(AND(AN9&gt;AG7),AL7,AG3)))</f>
        <v>17540</v>
      </c>
      <c r="AZ9" s="337">
        <v>7</v>
      </c>
      <c r="BA9" s="339" t="s">
        <v>215</v>
      </c>
    </row>
    <row r="10" spans="1:53" ht="26.25" customHeight="1" thickBot="1">
      <c r="A10" s="38"/>
      <c r="B10" s="552" t="s">
        <v>513</v>
      </c>
      <c r="C10" s="487" t="s">
        <v>2</v>
      </c>
      <c r="D10" s="486">
        <v>0</v>
      </c>
      <c r="E10" s="552" t="s">
        <v>509</v>
      </c>
      <c r="F10" s="553"/>
      <c r="G10" s="553"/>
      <c r="H10" s="554"/>
      <c r="I10" s="561">
        <v>0</v>
      </c>
      <c r="J10" s="652" t="s">
        <v>571</v>
      </c>
      <c r="K10" s="653"/>
      <c r="L10" s="653"/>
      <c r="M10" s="653"/>
      <c r="N10" s="653"/>
      <c r="O10" s="654"/>
      <c r="P10" s="645" t="s">
        <v>537</v>
      </c>
      <c r="AA10" s="337">
        <v>8</v>
      </c>
      <c r="AB10" s="337" t="s">
        <v>147</v>
      </c>
      <c r="AC10" s="337" t="str">
        <f>IF(Z2=1,"(Bio.Sci.)","")</f>
        <v>(Bio.Sci.)</v>
      </c>
      <c r="AF10" s="337">
        <f>IF(T104=2,VLOOKUP(AJ5,AE86:AG165,2,0),VLOOKUP(AJ5,AE86:AG165,3,0))</f>
        <v>17540</v>
      </c>
      <c r="AJ10" s="344"/>
      <c r="AN10" s="337">
        <v>9</v>
      </c>
      <c r="AO10" s="384" t="s">
        <v>531</v>
      </c>
      <c r="AP10" s="337">
        <f>IF(AND(AN10&gt;AG7),AH7,IF(AND(AN10&gt;AG6),AH6,IF(AND(AN10&gt;=AG5),AH5,AG3)))</f>
        <v>16600</v>
      </c>
      <c r="AQ10" s="337">
        <f>IF(AND(AN10&gt;AG6),AI6,IF(AND(AN10&gt;AG7),AI7,IF(AND(AN10&gt;=AG5),AI5,AG3)))</f>
        <v>16600</v>
      </c>
      <c r="AR10" s="337">
        <f>IF(AND(AN10&gt;AG7),AJ7,IF(AND(AN10&gt;=AG5),AJ5,IF(AND(AN10&gt;AG6),AJ6,AG3)))</f>
        <v>17050</v>
      </c>
      <c r="AS10" s="337">
        <f>IF(AND(AN10&gt;=AG5),AK5,IF(AND(AN10&gt;AG7),AK7,IF(AND(AN10&gt;AG6),AK6,AG3)))</f>
        <v>17540</v>
      </c>
      <c r="AT10" s="337">
        <f>IF(AND(AN10&gt;AG6),AL6,IF(AND(AN10&gt;=AG5),AL5,IF(AND(AN10&gt;AG7),AL7,AG3)))</f>
        <v>17540</v>
      </c>
      <c r="AZ10" s="337">
        <v>8</v>
      </c>
      <c r="BA10" s="339" t="s">
        <v>202</v>
      </c>
    </row>
    <row r="11" spans="1:53" ht="26.25" customHeight="1" thickBot="1">
      <c r="A11" s="38"/>
      <c r="B11" s="555"/>
      <c r="C11" s="487" t="s">
        <v>3</v>
      </c>
      <c r="D11" s="486">
        <v>0</v>
      </c>
      <c r="E11" s="555"/>
      <c r="F11" s="556"/>
      <c r="G11" s="556"/>
      <c r="H11" s="557"/>
      <c r="I11" s="562"/>
      <c r="J11" s="595" t="s">
        <v>538</v>
      </c>
      <c r="K11" s="596"/>
      <c r="L11" s="596"/>
      <c r="M11" s="597"/>
      <c r="N11" s="598">
        <v>0</v>
      </c>
      <c r="O11" s="599"/>
      <c r="P11" s="646"/>
      <c r="AJ11" s="344"/>
      <c r="AN11" s="337">
        <v>10</v>
      </c>
      <c r="AO11" s="384" t="s">
        <v>532</v>
      </c>
      <c r="AP11" s="337">
        <f>IF(AND(AN11&gt;AG7),AH7,IF(AND(AN11&gt;AG6),AH6,IF(AND(AN11&gt;=AG5),AH5,AG3)))</f>
        <v>16600</v>
      </c>
      <c r="AQ11" s="337">
        <f>IF(AND(AN11&gt;AG6),AI6,IF(AND(AN11&gt;AG7),AI7,IF(AND(AN11&gt;=AG5),AI5,AG3)))</f>
        <v>16600</v>
      </c>
      <c r="AR11" s="337">
        <f>IF(AND(AN11&gt;AG7),AJ7,IF(AND(AN11&gt;=AG5),AJ5,IF(AND(AN11&gt;AG6),AJ6,AG3)))</f>
        <v>17050</v>
      </c>
      <c r="AS11" s="337">
        <f>IF(AND(AN11&gt;=AG5),AK5,IF(AND(AN11&gt;AG7),AK7,IF(AND(AN11&gt;AG6),AK6,AG3)))</f>
        <v>17540</v>
      </c>
      <c r="AT11" s="337">
        <f>IF(AND(AN11&gt;AG6),AL6,IF(AND(AN11&gt;=AG5),AL5,IF(AND(AN11&gt;AG7),AL7,AG3)))</f>
        <v>17540</v>
      </c>
      <c r="AZ11" s="337">
        <v>9</v>
      </c>
      <c r="BA11" s="339" t="s">
        <v>216</v>
      </c>
    </row>
    <row r="12" spans="1:46" ht="26.25" customHeight="1" thickBot="1">
      <c r="A12" s="38"/>
      <c r="B12" s="555"/>
      <c r="C12" s="487" t="s">
        <v>4</v>
      </c>
      <c r="D12" s="486">
        <v>0</v>
      </c>
      <c r="E12" s="555"/>
      <c r="F12" s="556"/>
      <c r="G12" s="556"/>
      <c r="H12" s="557"/>
      <c r="I12" s="562"/>
      <c r="J12" s="595" t="s">
        <v>539</v>
      </c>
      <c r="K12" s="596"/>
      <c r="L12" s="596"/>
      <c r="M12" s="597"/>
      <c r="N12" s="598">
        <v>0</v>
      </c>
      <c r="O12" s="599"/>
      <c r="P12" s="646"/>
      <c r="AJ12" s="344"/>
      <c r="AN12" s="337">
        <v>11</v>
      </c>
      <c r="AO12" s="384" t="s">
        <v>533</v>
      </c>
      <c r="AP12" s="337">
        <f>IF(AND(AN12&gt;AG7),AH7,IF(AND(AN12&gt;AG6),AH6,IF(AND(AN12&gt;=AG5),AH5,AG3)))</f>
        <v>16600</v>
      </c>
      <c r="AQ12" s="337">
        <f>IF(AND(AN12&gt;AG6),AI6,IF(AND(AN12&gt;AG7),AI7,IF(AND(AN12&gt;=AG5),AI5,AG3)))</f>
        <v>16600</v>
      </c>
      <c r="AR12" s="337">
        <f>IF(AND(AN12&gt;AG7),AJ7,IF(AND(AN12&gt;=AG5),AJ5,IF(AND(AN12&gt;AG6),AJ6,AG3)))</f>
        <v>17050</v>
      </c>
      <c r="AS12" s="337">
        <f>IF(AND(AN12&gt;=AG5),AK5,IF(AND(AN12&gt;AG7),AK7,IF(AND(AN12&gt;AG6),AK6,AG3)))</f>
        <v>17540</v>
      </c>
      <c r="AT12" s="337">
        <f>IF(AND(AN12&gt;AG6),AL6,IF(AND(AN12&gt;=AG5),AL5,IF(AND(AN12&gt;AG7),AL7,AG3)))</f>
        <v>17540</v>
      </c>
    </row>
    <row r="13" spans="1:53" ht="26.25" customHeight="1" thickBot="1">
      <c r="A13" s="38"/>
      <c r="B13" s="558"/>
      <c r="C13" s="487" t="s">
        <v>46</v>
      </c>
      <c r="D13" s="486">
        <v>0</v>
      </c>
      <c r="E13" s="558"/>
      <c r="F13" s="559"/>
      <c r="G13" s="559"/>
      <c r="H13" s="560"/>
      <c r="I13" s="563"/>
      <c r="J13" s="595" t="s">
        <v>540</v>
      </c>
      <c r="K13" s="596"/>
      <c r="L13" s="596"/>
      <c r="M13" s="597"/>
      <c r="N13" s="598">
        <v>0</v>
      </c>
      <c r="O13" s="599"/>
      <c r="P13" s="647"/>
      <c r="AJ13" s="344"/>
      <c r="AN13" s="337">
        <v>12</v>
      </c>
      <c r="AO13" s="384" t="s">
        <v>534</v>
      </c>
      <c r="AP13" s="337">
        <f>IF(AND(AN13&gt;AG7),AH7,IF(AND(AN13&gt;AG6),AH6,IF(AND(AN13&gt;=AG5),AH5,AG3)))</f>
        <v>16600</v>
      </c>
      <c r="AQ13" s="337">
        <f>IF(AND(AN13&gt;AG6),AI6,IF(AND(AN13&gt;AG7),AI7,IF(AND(AN13&gt;=AG5),AI5,AG3)))</f>
        <v>16600</v>
      </c>
      <c r="AR13" s="337">
        <f>IF(AND(AN13&gt;AG7),AJ7,IF(AND(AN13&gt;=AG5),AJ5,IF(AND(AN13&gt;AG6),AJ6,AG3)))</f>
        <v>17050</v>
      </c>
      <c r="AS13" s="337">
        <f>IF(AND(AN13&gt;AG5),AK5,IF(AND(AN13&gt;AG7),AK7,IF(AND(AN13&gt;AG6),AK6,AG3)))</f>
        <v>17540</v>
      </c>
      <c r="AT13" s="337">
        <f>IF(AND(AN13&gt;AG6),AL6,IF(AND(AN13&gt;=AG5),AL5,IF(AND(AN13&gt;AG7),AL7,AG3)))</f>
        <v>17540</v>
      </c>
      <c r="AZ13" s="337">
        <v>1</v>
      </c>
      <c r="BA13" s="337" t="str">
        <f>VLOOKUP(AZ13,AZ3:BA11,2,)</f>
        <v>Children Tution Fee </v>
      </c>
    </row>
    <row r="14" spans="1:53" ht="26.25" customHeight="1" thickBot="1">
      <c r="A14" s="38"/>
      <c r="B14" s="315" t="s">
        <v>36</v>
      </c>
      <c r="C14" s="564"/>
      <c r="D14" s="565"/>
      <c r="E14" s="11" t="s">
        <v>44</v>
      </c>
      <c r="F14" s="543">
        <v>24961</v>
      </c>
      <c r="G14" s="544"/>
      <c r="H14" s="544"/>
      <c r="I14" s="545"/>
      <c r="J14" s="574" t="s">
        <v>348</v>
      </c>
      <c r="K14" s="575"/>
      <c r="L14" s="607" t="s">
        <v>617</v>
      </c>
      <c r="M14" s="608"/>
      <c r="N14" s="608"/>
      <c r="O14" s="608"/>
      <c r="P14" s="609"/>
      <c r="AA14" s="337">
        <v>9</v>
      </c>
      <c r="AB14" s="337" t="s">
        <v>146</v>
      </c>
      <c r="AC14" s="337" t="str">
        <f>IF(Z2=1,"(Social)","")</f>
        <v>(Social)</v>
      </c>
      <c r="AF14" s="337">
        <f>IF(T104=2,VLOOKUP(AK6,AE86:AG165,2,0),VLOOKUP(AK6,AE86:AG165,3,0))</f>
        <v>17050</v>
      </c>
      <c r="AJ14" s="344"/>
      <c r="AN14" s="337">
        <v>13</v>
      </c>
      <c r="AO14" s="384" t="s">
        <v>535</v>
      </c>
      <c r="AP14" s="337">
        <f>IF(AND(AN14&gt;$AG$7),$AH$7,IF(AND(AN14&gt;$AG$6),$AH$6,IF(AND(AN14&gt;=$AG$5),$AH$5,$AG$3)))</f>
        <v>16600</v>
      </c>
      <c r="AQ14" s="337">
        <f>IF(AND(AN14&gt;$AG$6),$AI$6,IF(AND(AN14&gt;$AG$7),$AI$7,IF(AND(AN14&gt;=$AG$5),$AI$5,$AG$3)))</f>
        <v>16600</v>
      </c>
      <c r="AR14" s="337">
        <f>IF(AND(AN14&gt;$AG$7),$AJ$7,IF(AND(AN14&gt;=$AG$5),$AJ$5,IF(AND(AN14&gt;$AG$6),$AJ$6,$AG$3)))</f>
        <v>17050</v>
      </c>
      <c r="AS14" s="337">
        <f>IF(AND(AN14&gt;=$AG$5),$AK$5,IF(AND(AN14&gt;$AG$7),$AK$7,IF(AND(AN14&gt;$AG$6),$AK$6,$AG$3)))</f>
        <v>17540</v>
      </c>
      <c r="AT14" s="337">
        <f>IF(AND(AN14&gt;$AG$6),$AL$6,IF(AND(AN14&gt;=$AG$5),$AL$5,IF(AND($AN$14&gt;$AG$7),$AL$7,$AG$3)))</f>
        <v>17540</v>
      </c>
      <c r="AZ14" s="337">
        <v>2</v>
      </c>
      <c r="BA14" s="337" t="str">
        <f>VLOOKUP(AZ14,AZ3:BA11,2,)</f>
        <v>Repayement of Home Loan Premium</v>
      </c>
    </row>
    <row r="15" spans="1:53" ht="26.25" customHeight="1" thickBot="1">
      <c r="A15" s="38"/>
      <c r="B15" s="6" t="s">
        <v>165</v>
      </c>
      <c r="C15" s="538">
        <v>1500</v>
      </c>
      <c r="D15" s="539"/>
      <c r="E15" s="577" t="s">
        <v>547</v>
      </c>
      <c r="F15" s="602"/>
      <c r="G15" s="602"/>
      <c r="H15" s="602"/>
      <c r="I15" s="578"/>
      <c r="J15" s="2"/>
      <c r="K15" s="12"/>
      <c r="L15" s="643" t="s">
        <v>39</v>
      </c>
      <c r="M15" s="550"/>
      <c r="N15" s="551"/>
      <c r="O15" s="538">
        <v>0</v>
      </c>
      <c r="P15" s="539"/>
      <c r="AA15" s="337">
        <v>10</v>
      </c>
      <c r="AC15" s="337" t="str">
        <f>IF(Z2=1,"(Phy.Edn)","")</f>
        <v>(Phy.Edn)</v>
      </c>
      <c r="AF15" s="337">
        <f>IF(T104=2,VLOOKUP(AG3,AE86:AG165,2,0),VLOOKUP(AG3,AE86:AG165,3,0))</f>
        <v>16600</v>
      </c>
      <c r="AJ15" s="344"/>
      <c r="AN15" s="337">
        <v>14</v>
      </c>
      <c r="AO15" s="384" t="s">
        <v>536</v>
      </c>
      <c r="AP15" s="337">
        <f>IF(AND(AN15&gt;$AG$7),$AH$7,IF(AND(AN15&gt;$AG$6),$AH$6,IF(AND(AN15&gt;=$AG$5),$AH$5,$AG$3)))</f>
        <v>16600</v>
      </c>
      <c r="AQ15" s="337">
        <f>IF(AND(AN15&gt;$AG$6),$AI$6,IF(AND(AN15&gt;$AG$7),$AI$7,IF(AND(AN15&gt;=$AG$5),$AI$5,$AG$3)))</f>
        <v>16600</v>
      </c>
      <c r="AR15" s="337">
        <f>IF(AND(AN15&gt;$AG$7),$AJ$7,IF(AND(AN15&gt;=$AG$5),$AJ$5,IF(AND(AN15&gt;$AG$6),$AJ$6,$AG$3)))</f>
        <v>17050</v>
      </c>
      <c r="AS15" s="337">
        <f>IF(AND(AN15&gt;=$AG$5),$AK$5,IF(AND(AN15&gt;$AG$7),$AK$7,IF(AND(AN15&gt;$AG$6),$AK$6,$AG$3)))</f>
        <v>17540</v>
      </c>
      <c r="AT15" s="337">
        <f>IF(AND(AN15&gt;$AG$6),$AL$6,IF(AND(AN15&gt;=$AG$5),$AL$5,IF(AND($AN$14&gt;$AG$7),$AL$7,$AG$3)))</f>
        <v>17540</v>
      </c>
      <c r="AZ15" s="337">
        <v>4</v>
      </c>
      <c r="BA15" s="337" t="str">
        <f>VLOOKUP(AZ15,AZ3:BA11,2,)</f>
        <v>LIC Annual Premiums Paid by Hand</v>
      </c>
    </row>
    <row r="16" spans="1:53" ht="26.25" customHeight="1" thickBot="1">
      <c r="A16" s="38"/>
      <c r="B16" s="6" t="s">
        <v>40</v>
      </c>
      <c r="C16" s="631" t="s">
        <v>618</v>
      </c>
      <c r="D16" s="632"/>
      <c r="E16" s="43" t="s">
        <v>41</v>
      </c>
      <c r="F16" s="44"/>
      <c r="G16" s="478">
        <v>450</v>
      </c>
      <c r="H16" s="549" t="s">
        <v>42</v>
      </c>
      <c r="I16" s="550"/>
      <c r="J16" s="550"/>
      <c r="K16" s="551"/>
      <c r="L16" s="13"/>
      <c r="M16" s="9"/>
      <c r="N16" s="591" t="s">
        <v>43</v>
      </c>
      <c r="O16" s="592"/>
      <c r="P16" s="484">
        <v>1450</v>
      </c>
      <c r="AA16" s="337">
        <v>11</v>
      </c>
      <c r="AJ16" s="344"/>
      <c r="AZ16" s="337">
        <v>5</v>
      </c>
      <c r="BA16" s="337" t="str">
        <f>VLOOKUP(AZ16,AZ3:BA11,2,)</f>
        <v>PLI Annual Premuim</v>
      </c>
    </row>
    <row r="17" spans="1:53" ht="26.25" customHeight="1" thickBot="1">
      <c r="A17" s="38"/>
      <c r="B17" s="566" t="s">
        <v>217</v>
      </c>
      <c r="C17" s="567"/>
      <c r="D17" s="568"/>
      <c r="E17" s="481">
        <v>0</v>
      </c>
      <c r="F17" s="6" t="s">
        <v>22</v>
      </c>
      <c r="G17" s="9"/>
      <c r="H17" s="577" t="s">
        <v>606</v>
      </c>
      <c r="I17" s="578"/>
      <c r="J17" s="37"/>
      <c r="K17" s="1"/>
      <c r="L17" s="582" t="str">
        <f>P72</f>
        <v>To get HRA Exemption, your Rent will be Rs. 5000</v>
      </c>
      <c r="M17" s="583"/>
      <c r="N17" s="583"/>
      <c r="O17" s="584"/>
      <c r="P17" s="479">
        <v>5000</v>
      </c>
      <c r="AA17" s="337">
        <v>12</v>
      </c>
      <c r="AD17" s="345"/>
      <c r="AE17" s="346"/>
      <c r="AZ17" s="337">
        <v>7</v>
      </c>
      <c r="BA17" s="337" t="str">
        <f>VLOOKUP(AZ17,AZ3:BA11,2,)</f>
        <v>5 Years Fixed Deposits </v>
      </c>
    </row>
    <row r="18" spans="1:53" ht="26.25" customHeight="1" thickBot="1">
      <c r="A18" s="38"/>
      <c r="B18" s="546" t="s">
        <v>222</v>
      </c>
      <c r="C18" s="547"/>
      <c r="D18" s="548"/>
      <c r="E18" s="538">
        <v>0</v>
      </c>
      <c r="F18" s="539"/>
      <c r="G18" s="579" t="s">
        <v>258</v>
      </c>
      <c r="H18" s="580"/>
      <c r="I18" s="580"/>
      <c r="J18" s="580"/>
      <c r="K18" s="581"/>
      <c r="L18" s="56" t="s">
        <v>222</v>
      </c>
      <c r="M18" s="538">
        <v>0</v>
      </c>
      <c r="N18" s="539"/>
      <c r="O18" s="650" t="s">
        <v>272</v>
      </c>
      <c r="P18" s="651"/>
      <c r="AA18" s="337">
        <v>13</v>
      </c>
      <c r="AD18" s="347">
        <v>3</v>
      </c>
      <c r="AE18" s="348">
        <f>VLOOKUP(AD18,AD19:AE22,2,90)</f>
        <v>60</v>
      </c>
      <c r="AZ18" s="337">
        <v>6</v>
      </c>
      <c r="BA18" s="337" t="str">
        <f>VLOOKUP(AZ18,AZ3:BA11,2,)</f>
        <v>Unit Linked Insurance Plan</v>
      </c>
    </row>
    <row r="19" spans="1:31" ht="26.25" customHeight="1" thickBot="1">
      <c r="A19" s="38"/>
      <c r="B19" s="546" t="s">
        <v>222</v>
      </c>
      <c r="C19" s="547"/>
      <c r="D19" s="548"/>
      <c r="E19" s="538">
        <v>0</v>
      </c>
      <c r="F19" s="539"/>
      <c r="G19" s="579" t="s">
        <v>259</v>
      </c>
      <c r="H19" s="580"/>
      <c r="I19" s="580"/>
      <c r="J19" s="580"/>
      <c r="K19" s="581"/>
      <c r="L19" s="56" t="s">
        <v>222</v>
      </c>
      <c r="M19" s="538">
        <v>0</v>
      </c>
      <c r="N19" s="539"/>
      <c r="O19" s="36" t="s">
        <v>566</v>
      </c>
      <c r="P19" s="482">
        <v>0</v>
      </c>
      <c r="AD19" s="347">
        <v>1</v>
      </c>
      <c r="AE19" s="348">
        <v>15</v>
      </c>
    </row>
    <row r="20" spans="1:31" ht="26.25" customHeight="1" thickBot="1">
      <c r="A20" s="38"/>
      <c r="B20" s="546" t="s">
        <v>222</v>
      </c>
      <c r="C20" s="547"/>
      <c r="D20" s="548"/>
      <c r="E20" s="538">
        <v>0</v>
      </c>
      <c r="F20" s="539"/>
      <c r="G20" s="655" t="s">
        <v>260</v>
      </c>
      <c r="H20" s="656"/>
      <c r="I20" s="656"/>
      <c r="J20" s="656"/>
      <c r="K20" s="657"/>
      <c r="L20" s="56" t="s">
        <v>222</v>
      </c>
      <c r="M20" s="538">
        <v>0</v>
      </c>
      <c r="N20" s="539"/>
      <c r="O20" s="6" t="s">
        <v>567</v>
      </c>
      <c r="P20" s="482">
        <v>0</v>
      </c>
      <c r="AD20" s="347">
        <v>2</v>
      </c>
      <c r="AE20" s="348">
        <v>30</v>
      </c>
    </row>
    <row r="21" spans="1:54" ht="26.25" customHeight="1" thickBot="1">
      <c r="A21" s="38"/>
      <c r="B21" s="546" t="s">
        <v>222</v>
      </c>
      <c r="C21" s="547"/>
      <c r="D21" s="548"/>
      <c r="E21" s="538">
        <v>0</v>
      </c>
      <c r="F21" s="539"/>
      <c r="G21" s="569"/>
      <c r="H21" s="570"/>
      <c r="I21" s="570"/>
      <c r="J21" s="570"/>
      <c r="K21" s="571"/>
      <c r="L21" s="56" t="s">
        <v>222</v>
      </c>
      <c r="M21" s="572">
        <f>R68</f>
        <v>0</v>
      </c>
      <c r="N21" s="573"/>
      <c r="O21" s="6" t="s">
        <v>554</v>
      </c>
      <c r="P21" s="482">
        <v>0</v>
      </c>
      <c r="AA21" s="337">
        <v>1</v>
      </c>
      <c r="AB21" s="337" t="str">
        <f>VLOOKUP(AA21,AA22:AB24,2,0)</f>
        <v>Sri.</v>
      </c>
      <c r="AD21" s="347">
        <v>3</v>
      </c>
      <c r="AE21" s="348">
        <v>60</v>
      </c>
      <c r="AN21" s="349"/>
      <c r="AO21" s="349"/>
      <c r="AP21" s="349"/>
      <c r="AQ21" s="349"/>
      <c r="AR21" s="349"/>
      <c r="AS21" s="349"/>
      <c r="AT21" s="349"/>
      <c r="AZ21" s="349"/>
      <c r="BA21" s="349"/>
      <c r="BB21" s="349"/>
    </row>
    <row r="22" spans="1:31" ht="26.25" customHeight="1" thickBot="1">
      <c r="A22" s="38"/>
      <c r="B22" s="546" t="s">
        <v>222</v>
      </c>
      <c r="C22" s="547"/>
      <c r="D22" s="548"/>
      <c r="E22" s="538">
        <v>0</v>
      </c>
      <c r="F22" s="539"/>
      <c r="G22" s="577"/>
      <c r="H22" s="602"/>
      <c r="I22" s="602"/>
      <c r="J22" s="602"/>
      <c r="K22" s="578"/>
      <c r="L22" s="56" t="s">
        <v>222</v>
      </c>
      <c r="M22" s="538">
        <v>0</v>
      </c>
      <c r="N22" s="539"/>
      <c r="O22" s="6" t="s">
        <v>568</v>
      </c>
      <c r="P22" s="482">
        <v>0</v>
      </c>
      <c r="AA22" s="337">
        <v>1</v>
      </c>
      <c r="AB22" s="337" t="s">
        <v>139</v>
      </c>
      <c r="AD22" s="350">
        <v>4</v>
      </c>
      <c r="AE22" s="351">
        <v>120</v>
      </c>
    </row>
    <row r="23" spans="1:43" ht="26.25" customHeight="1" thickBot="1">
      <c r="A23" s="38"/>
      <c r="B23" s="546" t="s">
        <v>222</v>
      </c>
      <c r="C23" s="547"/>
      <c r="D23" s="548"/>
      <c r="E23" s="538">
        <v>0</v>
      </c>
      <c r="F23" s="539"/>
      <c r="G23" s="622" t="s">
        <v>517</v>
      </c>
      <c r="H23" s="623"/>
      <c r="I23" s="623"/>
      <c r="J23" s="623"/>
      <c r="K23" s="644"/>
      <c r="L23" s="56" t="s">
        <v>222</v>
      </c>
      <c r="M23" s="648">
        <v>0</v>
      </c>
      <c r="N23" s="649"/>
      <c r="O23" s="6" t="s">
        <v>570</v>
      </c>
      <c r="P23" s="482">
        <v>0</v>
      </c>
      <c r="AA23" s="337">
        <v>2</v>
      </c>
      <c r="AB23" s="337" t="s">
        <v>140</v>
      </c>
      <c r="AN23" s="337">
        <v>2</v>
      </c>
      <c r="AO23" s="384" t="s">
        <v>536</v>
      </c>
      <c r="AP23" s="337">
        <f>IF(AND(AH8=1),VLOOKUP(AN23,AN3:AT14,3,0),IF(AND(AH8=2),VLOOKUP(AN23,AN3:AT14,4,0),IF(AND(AH8=3),VLOOKUP(AN23,AN3:AT14,5,0),IF(AND(AH8=4),VLOOKUP(AN23,AN3:AT14,6,0),IF(AND(AH8=5),VLOOKUP(AN23,AN3:AT14,7,0))))))</f>
        <v>16150</v>
      </c>
      <c r="AQ23" s="386">
        <v>63.344</v>
      </c>
    </row>
    <row r="24" spans="1:194" s="354" customFormat="1" ht="26.25" customHeight="1" thickBot="1">
      <c r="A24" s="39"/>
      <c r="B24" s="641"/>
      <c r="C24" s="642"/>
      <c r="D24" s="100" t="s">
        <v>46</v>
      </c>
      <c r="E24" s="538">
        <v>0</v>
      </c>
      <c r="F24" s="539"/>
      <c r="G24" s="635"/>
      <c r="H24" s="636"/>
      <c r="I24" s="319" t="s">
        <v>498</v>
      </c>
      <c r="J24" s="212"/>
      <c r="K24" s="212"/>
      <c r="L24" s="212"/>
      <c r="M24" s="213"/>
      <c r="N24" s="3"/>
      <c r="O24" s="36" t="s">
        <v>557</v>
      </c>
      <c r="P24" s="482">
        <v>0</v>
      </c>
      <c r="Q24" s="349"/>
      <c r="R24" s="349"/>
      <c r="S24" s="349"/>
      <c r="T24" s="349"/>
      <c r="U24" s="349"/>
      <c r="V24" s="349"/>
      <c r="W24" s="349"/>
      <c r="X24" s="349"/>
      <c r="Y24" s="349"/>
      <c r="Z24" s="349"/>
      <c r="AA24" s="337">
        <v>3</v>
      </c>
      <c r="AB24" s="337" t="s">
        <v>141</v>
      </c>
      <c r="AC24" s="349"/>
      <c r="AD24" s="349"/>
      <c r="AE24" s="352"/>
      <c r="AF24" s="353"/>
      <c r="AG24" s="352"/>
      <c r="AH24" s="352"/>
      <c r="AI24" s="352"/>
      <c r="AJ24" s="352"/>
      <c r="AK24" s="352"/>
      <c r="AL24" s="352"/>
      <c r="AM24" s="349"/>
      <c r="AN24" s="337">
        <v>3</v>
      </c>
      <c r="AO24" s="384" t="s">
        <v>553</v>
      </c>
      <c r="AP24" s="337">
        <f>IF(AND(AH8=1),VLOOKUP(AN24,AN3:AT14,3,0),IF(AND(AH8=2),VLOOKUP(AN24,AN3:AT14,4,0),IF(AND(AH8=3),VLOOKUP(AN24,AN3:AT14,5,0),IF(AND(AH8=4),VLOOKUP(AN24,AN3:AT14,6,0),IF(AND(AH8=5),VLOOKUP(AN24,AN3:AT14,7,0))))))</f>
        <v>16150</v>
      </c>
      <c r="AQ24" s="386">
        <v>63.344</v>
      </c>
      <c r="AR24" s="337"/>
      <c r="AS24" s="337"/>
      <c r="AT24" s="337"/>
      <c r="AU24" s="349"/>
      <c r="AV24" s="349"/>
      <c r="AW24" s="349"/>
      <c r="AX24" s="349"/>
      <c r="AY24" s="349"/>
      <c r="AZ24" s="337"/>
      <c r="BA24" s="337"/>
      <c r="BB24" s="337"/>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row>
    <row r="25" spans="1:43" ht="39.75" customHeight="1" thickBot="1">
      <c r="A25" s="76"/>
      <c r="B25" s="620" t="s">
        <v>524</v>
      </c>
      <c r="C25" s="621"/>
      <c r="D25" s="621"/>
      <c r="E25" s="621"/>
      <c r="F25" s="621"/>
      <c r="G25" s="637"/>
      <c r="H25" s="638"/>
      <c r="I25" s="332" t="s">
        <v>499</v>
      </c>
      <c r="J25" s="214"/>
      <c r="K25" s="214"/>
      <c r="L25" s="214"/>
      <c r="M25" s="215"/>
      <c r="N25" s="101"/>
      <c r="O25" s="6" t="s">
        <v>569</v>
      </c>
      <c r="P25" s="482">
        <v>0</v>
      </c>
      <c r="AE25" s="353"/>
      <c r="AF25" s="353"/>
      <c r="AG25" s="353"/>
      <c r="AH25" s="353"/>
      <c r="AI25" s="353"/>
      <c r="AJ25" s="353"/>
      <c r="AK25" s="353"/>
      <c r="AL25" s="353"/>
      <c r="AN25" s="337">
        <v>4</v>
      </c>
      <c r="AO25" s="384" t="s">
        <v>554</v>
      </c>
      <c r="AP25" s="337">
        <f>IF(AND(AH8=1),VLOOKUP(AN25,AN3:AT14,3,0),IF(AND(AH8=2),VLOOKUP(AN25,AN3:AT14,4,0),IF(AND(AH8=3),VLOOKUP(AN25,AN3:AT14,5,0),IF(AND(AH8=4),VLOOKUP(AN25,AN3:AT14,6,0),IF(AND(AH8=5),VLOOKUP(AN25,AN3:AT14,7,0))))))</f>
        <v>16150</v>
      </c>
      <c r="AQ25" s="337">
        <v>71.904</v>
      </c>
    </row>
    <row r="26" spans="1:43" ht="30.75" customHeight="1" thickBot="1">
      <c r="A26" s="77"/>
      <c r="B26" s="6" t="s">
        <v>347</v>
      </c>
      <c r="C26" s="607" t="s">
        <v>619</v>
      </c>
      <c r="D26" s="608"/>
      <c r="E26" s="608"/>
      <c r="F26" s="609"/>
      <c r="G26" s="637"/>
      <c r="H26" s="638"/>
      <c r="I26" s="333" t="s">
        <v>520</v>
      </c>
      <c r="J26" s="214"/>
      <c r="K26" s="214"/>
      <c r="L26" s="214"/>
      <c r="M26" s="215"/>
      <c r="N26" s="79" t="s">
        <v>273</v>
      </c>
      <c r="O26" s="6" t="s">
        <v>559</v>
      </c>
      <c r="P26" s="482">
        <v>0</v>
      </c>
      <c r="AE26" s="353"/>
      <c r="AF26" s="353"/>
      <c r="AG26" s="355"/>
      <c r="AH26" s="356"/>
      <c r="AI26" s="357"/>
      <c r="AJ26" s="357"/>
      <c r="AK26" s="358"/>
      <c r="AL26" s="634"/>
      <c r="AN26" s="337">
        <v>5</v>
      </c>
      <c r="AO26" s="384" t="s">
        <v>555</v>
      </c>
      <c r="AP26" s="337">
        <f>IF(AND(AH8=1),VLOOKUP(AN26,AN3:AT14,3,0),IF(AND(AH8=2),VLOOKUP(AN26,AN3:AT14,4,0),IF(AND(AH8=3),VLOOKUP(AN26,AN3:AT14,5,0),IF(AND(AH8=4),VLOOKUP(AN26,AN3:AT14,6,0),IF(AND(AH8=5),VLOOKUP(AN26,AN3:AT14,7,0))))))</f>
        <v>16150</v>
      </c>
      <c r="AQ26" s="337">
        <v>71.904</v>
      </c>
    </row>
    <row r="27" spans="1:43" ht="30.75" customHeight="1" thickBot="1">
      <c r="A27" s="77"/>
      <c r="B27" s="6" t="s">
        <v>511</v>
      </c>
      <c r="C27" s="607" t="s">
        <v>608</v>
      </c>
      <c r="D27" s="608"/>
      <c r="E27" s="608"/>
      <c r="F27" s="609"/>
      <c r="G27" s="639"/>
      <c r="H27" s="640"/>
      <c r="I27" s="216" t="s">
        <v>500</v>
      </c>
      <c r="J27" s="217"/>
      <c r="K27" s="217"/>
      <c r="L27" s="217"/>
      <c r="M27" s="218"/>
      <c r="N27" s="79" t="s">
        <v>274</v>
      </c>
      <c r="O27" s="6" t="s">
        <v>560</v>
      </c>
      <c r="P27" s="482">
        <v>0</v>
      </c>
      <c r="AA27" s="337">
        <v>2</v>
      </c>
      <c r="AB27" s="337" t="str">
        <f>VLOOKUP(AA27,AA28:AB30,2,0)</f>
        <v>ZP GPF</v>
      </c>
      <c r="AE27" s="353"/>
      <c r="AF27" s="353"/>
      <c r="AG27" s="355"/>
      <c r="AH27" s="356"/>
      <c r="AI27" s="357"/>
      <c r="AJ27" s="357"/>
      <c r="AK27" s="358"/>
      <c r="AL27" s="634"/>
      <c r="AN27" s="337">
        <v>6</v>
      </c>
      <c r="AO27" s="384" t="s">
        <v>556</v>
      </c>
      <c r="AP27" s="337">
        <f>IF(AND(AH8=1),VLOOKUP(AN27,AN3:AT14,3,0),IF(AND(AH8=2),VLOOKUP(AN27,AN3:AT14,4,0),IF(AND(AH8=3),VLOOKUP(AN27,AN3:AT14,5,0),IF(AND(AH8=4),VLOOKUP(AN27,AN3:AT14,6,0),IF(AND(AH8=5),VLOOKUP(AN27,AN3:AT14,7,0))))))</f>
        <v>16150</v>
      </c>
      <c r="AQ27" s="337">
        <v>71.904</v>
      </c>
    </row>
    <row r="28" spans="1:43" ht="30.75" customHeight="1" thickBot="1">
      <c r="A28" s="77"/>
      <c r="B28" s="6" t="s">
        <v>349</v>
      </c>
      <c r="C28" s="607"/>
      <c r="D28" s="608"/>
      <c r="E28" s="608"/>
      <c r="F28" s="609"/>
      <c r="G28" s="577" t="s">
        <v>512</v>
      </c>
      <c r="H28" s="578"/>
      <c r="I28" s="538" t="s">
        <v>620</v>
      </c>
      <c r="J28" s="588"/>
      <c r="K28" s="588"/>
      <c r="L28" s="588"/>
      <c r="M28" s="539"/>
      <c r="N28" s="79" t="s">
        <v>275</v>
      </c>
      <c r="O28" s="6" t="s">
        <v>561</v>
      </c>
      <c r="P28" s="482">
        <v>0</v>
      </c>
      <c r="AA28" s="359">
        <v>1</v>
      </c>
      <c r="AB28" s="337" t="s">
        <v>142</v>
      </c>
      <c r="AE28" s="353"/>
      <c r="AF28" s="353"/>
      <c r="AG28" s="355"/>
      <c r="AH28" s="356"/>
      <c r="AI28" s="357"/>
      <c r="AJ28" s="357"/>
      <c r="AK28" s="358"/>
      <c r="AL28" s="634"/>
      <c r="AN28" s="337">
        <v>7</v>
      </c>
      <c r="AO28" s="384" t="s">
        <v>557</v>
      </c>
      <c r="AP28" s="337">
        <f>IF(AND(AH8=1),VLOOKUP(AN28,AN3:AT14,3,0),IF(AND(AH8=2),VLOOKUP(AN28,AN3:AT14,4,0),IF(AND(AH8=3),VLOOKUP(AN28,AN3:AT14,5,0),IF(AND(AH8=4),VLOOKUP(AN28,AN3:AT14,6,0),IF(AND(AH8=5),VLOOKUP(AN28,AN3:AT14,7,0))))))</f>
        <v>16600</v>
      </c>
      <c r="AQ28" s="337">
        <v>71.904</v>
      </c>
    </row>
    <row r="29" spans="1:43" ht="27.75" customHeight="1" thickBot="1">
      <c r="A29" s="78"/>
      <c r="B29" s="485" t="s">
        <v>548</v>
      </c>
      <c r="C29" s="463"/>
      <c r="D29" s="463"/>
      <c r="E29" s="463"/>
      <c r="F29" s="463"/>
      <c r="G29" s="463"/>
      <c r="H29" s="463"/>
      <c r="I29" s="463"/>
      <c r="J29" s="463"/>
      <c r="K29" s="463"/>
      <c r="L29" s="463"/>
      <c r="M29" s="464"/>
      <c r="N29" s="80" t="s">
        <v>276</v>
      </c>
      <c r="O29" s="488" t="s">
        <v>562</v>
      </c>
      <c r="P29" s="479">
        <v>0</v>
      </c>
      <c r="AA29" s="360">
        <v>2</v>
      </c>
      <c r="AB29" s="349" t="s">
        <v>143</v>
      </c>
      <c r="AE29" s="353"/>
      <c r="AF29" s="352"/>
      <c r="AG29" s="353"/>
      <c r="AH29" s="353"/>
      <c r="AI29" s="353"/>
      <c r="AJ29" s="353"/>
      <c r="AK29" s="353"/>
      <c r="AL29" s="353"/>
      <c r="AN29" s="337">
        <v>8</v>
      </c>
      <c r="AO29" s="384" t="s">
        <v>558</v>
      </c>
      <c r="AP29" s="337">
        <f>IF(AND(AH8=1),VLOOKUP(AN29,AN3:AT14,3,0),IF(AND(AH8=2),VLOOKUP(AN29,AN3:AT14,4,0),IF(AND(AH8=3),VLOOKUP(AN29,AN3:AT14,5,0),IF(AND(AH8=4),VLOOKUP(AN29,AN3:AT14,6,0),IF(AND(AH8=5),VLOOKUP(AN29,AN3:AT14,7,0))))))</f>
        <v>16600</v>
      </c>
      <c r="AQ29" s="337">
        <v>71.904</v>
      </c>
    </row>
    <row r="30" spans="1:43" s="386" customFormat="1" ht="27.75" customHeight="1">
      <c r="A30" s="627" t="s">
        <v>550</v>
      </c>
      <c r="B30" s="628"/>
      <c r="C30" s="628"/>
      <c r="D30" s="628"/>
      <c r="E30" s="628"/>
      <c r="F30" s="628"/>
      <c r="G30" s="628"/>
      <c r="H30" s="628"/>
      <c r="I30" s="628"/>
      <c r="J30" s="628"/>
      <c r="K30" s="628"/>
      <c r="L30" s="628"/>
      <c r="M30" s="628"/>
      <c r="N30" s="628"/>
      <c r="O30" s="628"/>
      <c r="P30" s="628"/>
      <c r="AA30" s="387">
        <v>3</v>
      </c>
      <c r="AB30" s="386" t="s">
        <v>144</v>
      </c>
      <c r="AE30" s="388"/>
      <c r="AF30" s="388"/>
      <c r="AG30" s="389"/>
      <c r="AH30" s="390"/>
      <c r="AI30" s="391"/>
      <c r="AJ30" s="391"/>
      <c r="AK30" s="392"/>
      <c r="AL30" s="633"/>
      <c r="AN30" s="386">
        <v>9</v>
      </c>
      <c r="AO30" s="386" t="s">
        <v>559</v>
      </c>
      <c r="AP30" s="386">
        <f>IF(AND(AH8=1),VLOOKUP(AN30,AN3:AT14,3,0),IF(AND(AH8=2),VLOOKUP(AN30,AN3:AT14,4,0),IF(AND(AH8=3),VLOOKUP(AN30,AN3:AT14,5,0),IF(AND(AH8=4),VLOOKUP(AN30,AN3:AT14,6,0),IF(AND(AH8=5),VLOOKUP(AN30,AN3:AT14,7,0))))))</f>
        <v>16600</v>
      </c>
      <c r="AQ30" s="386">
        <v>77.896</v>
      </c>
    </row>
    <row r="31" spans="1:43" s="386" customFormat="1" ht="27.75" customHeight="1">
      <c r="A31" s="629"/>
      <c r="B31" s="630"/>
      <c r="C31" s="630"/>
      <c r="D31" s="630"/>
      <c r="E31" s="630"/>
      <c r="F31" s="630"/>
      <c r="G31" s="630"/>
      <c r="H31" s="630"/>
      <c r="I31" s="630"/>
      <c r="J31" s="630"/>
      <c r="K31" s="630"/>
      <c r="L31" s="630"/>
      <c r="M31" s="630"/>
      <c r="N31" s="630"/>
      <c r="O31" s="630"/>
      <c r="P31" s="630"/>
      <c r="AE31" s="388"/>
      <c r="AF31" s="388"/>
      <c r="AG31" s="389"/>
      <c r="AH31" s="390"/>
      <c r="AI31" s="391"/>
      <c r="AJ31" s="391"/>
      <c r="AK31" s="392"/>
      <c r="AL31" s="633"/>
      <c r="AN31" s="386">
        <v>10</v>
      </c>
      <c r="AO31" s="386" t="s">
        <v>560</v>
      </c>
      <c r="AP31" s="386">
        <f>IF(AND(AH8=1),VLOOKUP(AN31,AN3:AT14,3,0),IF(AND(AH8=2),VLOOKUP(AN31,AN3:AT14,4,0),IF(AND(AH8=3),VLOOKUP(AN31,AN3:AT14,5,0),IF(AND(AH8=4),VLOOKUP(AN31,AN3:AT14,6,0),IF(AND(AH8=5),VLOOKUP(AN31,AN3:AT14,7,0))))))</f>
        <v>16600</v>
      </c>
      <c r="AQ31" s="386">
        <v>77.896</v>
      </c>
    </row>
    <row r="32" spans="1:43" s="386" customFormat="1" ht="27.75" customHeight="1" hidden="1">
      <c r="A32" s="472"/>
      <c r="B32" s="473"/>
      <c r="C32" s="473"/>
      <c r="D32" s="473"/>
      <c r="E32" s="473"/>
      <c r="F32" s="465"/>
      <c r="G32" s="465"/>
      <c r="H32" s="465"/>
      <c r="I32" s="465"/>
      <c r="J32" s="465"/>
      <c r="K32" s="465"/>
      <c r="L32" s="465"/>
      <c r="M32" s="465"/>
      <c r="AC32" s="386">
        <v>1</v>
      </c>
      <c r="AE32" s="388"/>
      <c r="AF32" s="388"/>
      <c r="AG32" s="389"/>
      <c r="AH32" s="390"/>
      <c r="AI32" s="391"/>
      <c r="AJ32" s="391"/>
      <c r="AK32" s="392"/>
      <c r="AL32" s="633"/>
      <c r="AN32" s="386">
        <v>11</v>
      </c>
      <c r="AO32" s="386" t="s">
        <v>561</v>
      </c>
      <c r="AP32" s="386">
        <f>IF(AND(AH8=1),VLOOKUP(AN32,AN3:AT14,3,0),IF(AND(AH8=2),VLOOKUP(AN32,AN3:AT14,4,0),IF(AND(AH8=3),VLOOKUP(AN32,AN3:AT14,5,0),IF(AND(AH8=4),VLOOKUP(AN32,AN3:AT14,6,0),IF(AND(AH8=5),VLOOKUP(AN32,AN3:AT14,7,0))))))</f>
        <v>16600</v>
      </c>
      <c r="AQ32" s="386">
        <v>77.896</v>
      </c>
    </row>
    <row r="33" spans="1:194" s="393" customFormat="1" ht="27.75" customHeight="1" hidden="1">
      <c r="A33" s="472"/>
      <c r="B33" s="473"/>
      <c r="C33" s="473"/>
      <c r="D33" s="473"/>
      <c r="E33" s="473"/>
      <c r="F33" s="465"/>
      <c r="G33" s="465"/>
      <c r="H33" s="465"/>
      <c r="I33" s="465"/>
      <c r="J33" s="465"/>
      <c r="K33" s="465"/>
      <c r="L33" s="465"/>
      <c r="M33" s="465"/>
      <c r="N33" s="386"/>
      <c r="O33" s="386"/>
      <c r="P33" s="386"/>
      <c r="Q33" s="386"/>
      <c r="R33" s="386"/>
      <c r="S33" s="386"/>
      <c r="T33" s="386"/>
      <c r="U33" s="386"/>
      <c r="V33" s="386"/>
      <c r="W33" s="386"/>
      <c r="X33" s="386"/>
      <c r="Y33" s="386"/>
      <c r="Z33" s="386"/>
      <c r="AA33" s="386"/>
      <c r="AB33" s="386"/>
      <c r="AC33" s="386">
        <f>VLOOKUP(AC32,AA34:AC37,3,0)</f>
        <v>0</v>
      </c>
      <c r="AD33" s="386"/>
      <c r="AE33" s="388"/>
      <c r="AF33" s="388"/>
      <c r="AG33" s="388"/>
      <c r="AH33" s="388"/>
      <c r="AI33" s="388"/>
      <c r="AJ33" s="388"/>
      <c r="AK33" s="388"/>
      <c r="AL33" s="388"/>
      <c r="AM33" s="386"/>
      <c r="AN33" s="386">
        <v>12</v>
      </c>
      <c r="AO33" s="386" t="s">
        <v>562</v>
      </c>
      <c r="AP33" s="386">
        <f>IF(AND(AH8=1),VLOOKUP(AN33,AN3:AT14,3,0),IF(AND(AH8=2),VLOOKUP(AN33,AN3:AT14,4,0),IF(AND(AH8=3),VLOOKUP(AN33,AN3:AT14,5,0),IF(AND(AH8=4),VLOOKUP(AN33,AN3:AT14,6,0),IF(AND(AH8=5),VLOOKUP(AN33,AN3:AT14,7,0))))))</f>
        <v>16600</v>
      </c>
      <c r="AQ33" s="386">
        <v>77.896</v>
      </c>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row>
    <row r="34" spans="1:194" s="393" customFormat="1" ht="27.75" customHeight="1" hidden="1">
      <c r="A34" s="472"/>
      <c r="B34" s="473"/>
      <c r="C34" s="473"/>
      <c r="D34" s="473"/>
      <c r="E34" s="473"/>
      <c r="F34" s="465"/>
      <c r="G34" s="465"/>
      <c r="H34" s="465"/>
      <c r="I34" s="465"/>
      <c r="J34" s="465"/>
      <c r="K34" s="465"/>
      <c r="L34" s="465"/>
      <c r="M34" s="465"/>
      <c r="N34" s="394" t="s">
        <v>0</v>
      </c>
      <c r="O34" s="394" t="s">
        <v>1</v>
      </c>
      <c r="P34" s="394"/>
      <c r="Q34" s="394" t="s">
        <v>19</v>
      </c>
      <c r="R34" s="394" t="s">
        <v>186</v>
      </c>
      <c r="S34" s="394" t="s">
        <v>20</v>
      </c>
      <c r="T34" s="394" t="s">
        <v>21</v>
      </c>
      <c r="U34" s="394" t="s">
        <v>22</v>
      </c>
      <c r="V34" s="394" t="s">
        <v>14</v>
      </c>
      <c r="W34" s="394"/>
      <c r="X34" s="386"/>
      <c r="Y34" s="386"/>
      <c r="Z34" s="386"/>
      <c r="AA34" s="386">
        <v>1</v>
      </c>
      <c r="AB34" s="386" t="s">
        <v>148</v>
      </c>
      <c r="AC34" s="386">
        <v>0</v>
      </c>
      <c r="AD34" s="386"/>
      <c r="AE34" s="388"/>
      <c r="AF34" s="388"/>
      <c r="AG34" s="389"/>
      <c r="AH34" s="390"/>
      <c r="AI34" s="391"/>
      <c r="AJ34" s="391"/>
      <c r="AK34" s="392"/>
      <c r="AL34" s="633"/>
      <c r="AM34" s="386"/>
      <c r="AN34" s="386">
        <v>13</v>
      </c>
      <c r="AO34" s="386" t="s">
        <v>563</v>
      </c>
      <c r="AP34" s="386">
        <f>IF(AND($AH$8=1),VLOOKUP(AN34,$AN$3:$AT$15,3,0),IF(AND($AH$8=2),VLOOKUP(AN34,$AN$3:$AT$15,4,0),IF(AND($AH$8=3),VLOOKUP(AN34,$AN$3:$AT$15,5,0),IF(AND($AH$8=4),VLOOKUP(AN34,$AN$3:$AT$15,6,0),IF(AND($AH$8=5),VLOOKUP(AN34,$AN$3:$AT$15,7,0))))))</f>
        <v>16600</v>
      </c>
      <c r="AQ34" s="386">
        <v>77.896</v>
      </c>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row>
    <row r="35" spans="1:194" s="393" customFormat="1" ht="27.75" customHeight="1" hidden="1">
      <c r="A35" s="386"/>
      <c r="B35" s="465"/>
      <c r="C35" s="465">
        <v>2</v>
      </c>
      <c r="D35" s="465"/>
      <c r="E35" s="465"/>
      <c r="F35" s="465"/>
      <c r="G35" s="465"/>
      <c r="H35" s="465"/>
      <c r="I35" s="465"/>
      <c r="J35" s="465"/>
      <c r="K35" s="465"/>
      <c r="L35" s="465"/>
      <c r="M35" s="465"/>
      <c r="N35" s="395">
        <v>2</v>
      </c>
      <c r="O35" s="385" t="str">
        <f>IF(N34=2,"","March,13")</f>
        <v>March,13</v>
      </c>
      <c r="P35" s="396">
        <f>Q35</f>
        <v>12</v>
      </c>
      <c r="Q35" s="396">
        <f>IF(AND(T116=1),U109,IF(AND(T116&lt;=N35-1),U117,U109))</f>
        <v>12</v>
      </c>
      <c r="R35" s="396">
        <f>IF(AND(AA49=1),C9,IF(AND(AA49&lt;=N35-1),L9,C9))</f>
        <v>0</v>
      </c>
      <c r="S35" s="396">
        <f>IF(AND(AA47=1),C15,IF(AND(AA47&lt;=N35-1),O15,C15))</f>
        <v>1500</v>
      </c>
      <c r="T35" s="396">
        <f>IF(AND(AA48=1),G16,IF(AND(AA48&lt;=N35-1),P16,G16))</f>
        <v>450</v>
      </c>
      <c r="U35" s="385">
        <v>60</v>
      </c>
      <c r="V35" s="385">
        <v>1111</v>
      </c>
      <c r="W35" s="385"/>
      <c r="X35" s="386"/>
      <c r="Y35" s="386"/>
      <c r="Z35" s="386"/>
      <c r="AA35" s="386">
        <v>2</v>
      </c>
      <c r="AB35" s="386" t="s">
        <v>553</v>
      </c>
      <c r="AC35" s="386">
        <v>50</v>
      </c>
      <c r="AD35" s="386"/>
      <c r="AE35" s="388"/>
      <c r="AF35" s="388"/>
      <c r="AG35" s="389"/>
      <c r="AH35" s="390"/>
      <c r="AI35" s="391"/>
      <c r="AJ35" s="391"/>
      <c r="AK35" s="392"/>
      <c r="AL35" s="633"/>
      <c r="AM35" s="386"/>
      <c r="AN35" s="386">
        <v>14</v>
      </c>
      <c r="AO35" s="386" t="s">
        <v>600</v>
      </c>
      <c r="AP35" s="386">
        <f>IF(AND($AH$8=1),VLOOKUP(AN35,$AN$3:$AT$15,3,0),IF(AND($AH$8=2),VLOOKUP(AN35,$AN$3:$AT$15,4,0),IF(AND($AH$8=3),VLOOKUP(AN35,$AN$3:$AT$15,5,0),IF(AND($AH$8=4),VLOOKUP(AN34,$AN$3:$AT$15,6,0),IF(AND($AH$8=5),VLOOKUP(AN35,AN4:AT15,7,0))))))</f>
        <v>16600</v>
      </c>
      <c r="AQ35" s="386">
        <v>77.896</v>
      </c>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row>
    <row r="36" spans="1:194" s="393" customFormat="1" ht="27.75" customHeight="1" hidden="1">
      <c r="A36" s="386"/>
      <c r="B36" s="465"/>
      <c r="C36" s="465"/>
      <c r="D36" s="465"/>
      <c r="E36" s="465"/>
      <c r="F36" s="465"/>
      <c r="G36" s="465"/>
      <c r="H36" s="465"/>
      <c r="I36" s="465"/>
      <c r="J36" s="465"/>
      <c r="K36" s="465"/>
      <c r="L36" s="465"/>
      <c r="M36" s="465"/>
      <c r="N36" s="395">
        <v>3</v>
      </c>
      <c r="O36" s="385" t="str">
        <f>IF(N34=2,"","April,13")</f>
        <v>April,13</v>
      </c>
      <c r="P36" s="396">
        <f aca="true" t="shared" si="0" ref="P36:P46">IF(Q36=10,12,IF(Q36=12.5,14.5,Q36))</f>
        <v>12</v>
      </c>
      <c r="Q36" s="396">
        <f>IF(AND(T116=1),U109,IF(AND(T116&lt;=N36-1),U117,U109))</f>
        <v>12</v>
      </c>
      <c r="R36" s="396">
        <f>IF(AND(AA49=1),C9,IF(AND(AA49&lt;=N36-1),L9,C9))</f>
        <v>0</v>
      </c>
      <c r="S36" s="396">
        <f>IF(AND(AA47=1),C15,IF(AND(AA47&lt;=N36-1),O15,C15))</f>
        <v>1500</v>
      </c>
      <c r="T36" s="396">
        <f>IF(AND(AA48=1),G16,IF(AND(AA48&lt;=N36-1),P16,G16))</f>
        <v>450</v>
      </c>
      <c r="U36" s="396">
        <f aca="true" t="shared" si="1" ref="U36:U46">U35</f>
        <v>60</v>
      </c>
      <c r="V36" s="396">
        <f aca="true" t="shared" si="2" ref="V36:V46">V35</f>
        <v>1111</v>
      </c>
      <c r="W36" s="396">
        <f aca="true" t="shared" si="3" ref="W36:W46">W35</f>
        <v>0</v>
      </c>
      <c r="X36" s="386"/>
      <c r="Y36" s="386"/>
      <c r="Z36" s="386"/>
      <c r="AA36" s="386">
        <v>3</v>
      </c>
      <c r="AB36" s="386" t="s">
        <v>554</v>
      </c>
      <c r="AC36" s="386">
        <v>75</v>
      </c>
      <c r="AD36" s="386"/>
      <c r="AE36" s="388"/>
      <c r="AF36" s="388"/>
      <c r="AG36" s="389"/>
      <c r="AH36" s="390"/>
      <c r="AI36" s="391"/>
      <c r="AJ36" s="391"/>
      <c r="AK36" s="392"/>
      <c r="AL36" s="633"/>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row>
    <row r="37" spans="1:194" s="393" customFormat="1" ht="27.75" customHeight="1" hidden="1">
      <c r="A37" s="386"/>
      <c r="B37" s="465"/>
      <c r="C37" s="465"/>
      <c r="D37" s="465"/>
      <c r="E37" s="465"/>
      <c r="F37" s="465"/>
      <c r="G37" s="465"/>
      <c r="H37" s="465"/>
      <c r="I37" s="465"/>
      <c r="J37" s="465"/>
      <c r="K37" s="465"/>
      <c r="L37" s="465"/>
      <c r="M37" s="465"/>
      <c r="N37" s="395">
        <v>4</v>
      </c>
      <c r="O37" s="385" t="str">
        <f>IF(N34=2,"","May,13")</f>
        <v>May,13</v>
      </c>
      <c r="P37" s="396">
        <f t="shared" si="0"/>
        <v>12</v>
      </c>
      <c r="Q37" s="396">
        <f>IF(AND(T116=1),U109,IF(AND(T116&lt;=N37-1),U117,U109))</f>
        <v>12</v>
      </c>
      <c r="R37" s="396">
        <f>IF(AND(AA49=1),C9,IF(AND(AA49&lt;=N37-1),L9,C9))</f>
        <v>0</v>
      </c>
      <c r="S37" s="396">
        <f>IF(AND(AA47=1),C15,IF(AND(AA47&lt;=N37-1),O15,C15))</f>
        <v>1500</v>
      </c>
      <c r="T37" s="396">
        <f>IF(AND(AA48=1),G16,IF(AND(AA48&lt;=N37-1),P16,G16))</f>
        <v>450</v>
      </c>
      <c r="U37" s="396">
        <f t="shared" si="1"/>
        <v>60</v>
      </c>
      <c r="V37" s="396">
        <f t="shared" si="2"/>
        <v>1111</v>
      </c>
      <c r="W37" s="396">
        <f t="shared" si="3"/>
        <v>0</v>
      </c>
      <c r="X37" s="386"/>
      <c r="Y37" s="386"/>
      <c r="Z37" s="386"/>
      <c r="AA37" s="386">
        <v>4</v>
      </c>
      <c r="AB37" s="386" t="s">
        <v>555</v>
      </c>
      <c r="AC37" s="386">
        <v>100</v>
      </c>
      <c r="AD37" s="386"/>
      <c r="AE37" s="388"/>
      <c r="AF37" s="388"/>
      <c r="AG37" s="389"/>
      <c r="AH37" s="390"/>
      <c r="AI37" s="391"/>
      <c r="AJ37" s="391"/>
      <c r="AK37" s="392"/>
      <c r="AL37" s="633"/>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row>
    <row r="38" spans="1:194" s="393" customFormat="1" ht="27.75" customHeight="1" hidden="1">
      <c r="A38" s="386"/>
      <c r="B38" s="465"/>
      <c r="C38" s="465"/>
      <c r="D38" s="465"/>
      <c r="E38" s="465"/>
      <c r="F38" s="465"/>
      <c r="G38" s="465"/>
      <c r="H38" s="465"/>
      <c r="I38" s="465"/>
      <c r="J38" s="465"/>
      <c r="K38" s="465"/>
      <c r="L38" s="465"/>
      <c r="M38" s="465"/>
      <c r="N38" s="395">
        <v>5</v>
      </c>
      <c r="O38" s="385" t="str">
        <f>IF(N34=2,"","June,13")</f>
        <v>June,13</v>
      </c>
      <c r="P38" s="396">
        <f t="shared" si="0"/>
        <v>12</v>
      </c>
      <c r="Q38" s="396">
        <f>IF(AND(T116=1),U109,IF(AND(T116&lt;=N38-1),U117,U109))</f>
        <v>12</v>
      </c>
      <c r="R38" s="396">
        <f>IF(AND(AA49=1),C9,IF(AND(AA49&lt;=N38-1),L9,C9))</f>
        <v>0</v>
      </c>
      <c r="S38" s="396">
        <f>IF(AND(AA47=1),C15,IF(AND(AA47&lt;=N38-1),O15,C15))</f>
        <v>1500</v>
      </c>
      <c r="T38" s="396">
        <f>IF(AND(AA48=1),G16,IF(AND(AA48&lt;=N38-1),P16,G16))</f>
        <v>450</v>
      </c>
      <c r="U38" s="396">
        <f t="shared" si="1"/>
        <v>60</v>
      </c>
      <c r="V38" s="396">
        <f t="shared" si="2"/>
        <v>1111</v>
      </c>
      <c r="W38" s="396">
        <f t="shared" si="3"/>
        <v>0</v>
      </c>
      <c r="X38" s="388"/>
      <c r="Y38" s="388"/>
      <c r="Z38" s="386"/>
      <c r="AA38" s="386">
        <v>5</v>
      </c>
      <c r="AB38" s="386" t="s">
        <v>556</v>
      </c>
      <c r="AC38" s="386"/>
      <c r="AD38" s="386"/>
      <c r="AE38" s="388"/>
      <c r="AF38" s="388"/>
      <c r="AG38" s="389"/>
      <c r="AH38" s="390"/>
      <c r="AI38" s="391"/>
      <c r="AJ38" s="391"/>
      <c r="AK38" s="392"/>
      <c r="AL38" s="633"/>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row>
    <row r="39" spans="1:194" s="393" customFormat="1" ht="27.75" customHeight="1" hidden="1">
      <c r="A39" s="386"/>
      <c r="B39" s="465"/>
      <c r="C39" s="465"/>
      <c r="D39" s="465"/>
      <c r="E39" s="465"/>
      <c r="F39" s="465"/>
      <c r="G39" s="465"/>
      <c r="H39" s="465">
        <v>2</v>
      </c>
      <c r="I39" s="465"/>
      <c r="J39" s="465"/>
      <c r="K39" s="465"/>
      <c r="L39" s="465"/>
      <c r="M39" s="465"/>
      <c r="N39" s="395">
        <v>6</v>
      </c>
      <c r="O39" s="385" t="str">
        <f>IF(N34=2,"","July,13")</f>
        <v>July,13</v>
      </c>
      <c r="P39" s="396">
        <f t="shared" si="0"/>
        <v>12</v>
      </c>
      <c r="Q39" s="396">
        <f>IF(AND(T116=1),U109,IF(AND(T116&lt;=N39-1),U117,U109))</f>
        <v>12</v>
      </c>
      <c r="R39" s="396">
        <f>IF(AND(AA49=1),C9,IF(AND(AA49&lt;=N39-1),L9,C9))</f>
        <v>0</v>
      </c>
      <c r="S39" s="396">
        <f>IF(AND(AA47=1),C15,IF(AND(AA47&lt;=N39-1),O15,C15))</f>
        <v>1500</v>
      </c>
      <c r="T39" s="396">
        <f>IF(AND(AA48=1),G16,IF(AND(AA48&lt;=N39-1),P16,G16))</f>
        <v>450</v>
      </c>
      <c r="U39" s="396">
        <f t="shared" si="1"/>
        <v>60</v>
      </c>
      <c r="V39" s="396">
        <f t="shared" si="2"/>
        <v>1111</v>
      </c>
      <c r="W39" s="396">
        <f t="shared" si="3"/>
        <v>0</v>
      </c>
      <c r="X39" s="388"/>
      <c r="Y39" s="388"/>
      <c r="Z39" s="386"/>
      <c r="AA39" s="386">
        <v>6</v>
      </c>
      <c r="AB39" s="386" t="s">
        <v>557</v>
      </c>
      <c r="AC39" s="386"/>
      <c r="AD39" s="386"/>
      <c r="AE39" s="388"/>
      <c r="AF39" s="388"/>
      <c r="AG39" s="388"/>
      <c r="AH39" s="388"/>
      <c r="AI39" s="388"/>
      <c r="AJ39" s="388"/>
      <c r="AK39" s="388"/>
      <c r="AL39" s="388"/>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row>
    <row r="40" spans="1:194" s="393" customFormat="1" ht="27.75" customHeight="1" hidden="1">
      <c r="A40" s="386"/>
      <c r="B40" s="465"/>
      <c r="C40" s="465"/>
      <c r="D40" s="465"/>
      <c r="E40" s="465"/>
      <c r="F40" s="465"/>
      <c r="G40" s="465"/>
      <c r="H40" s="465" t="s">
        <v>522</v>
      </c>
      <c r="I40" s="465"/>
      <c r="J40" s="465"/>
      <c r="K40" s="465"/>
      <c r="L40" s="465"/>
      <c r="M40" s="465"/>
      <c r="N40" s="395">
        <v>7</v>
      </c>
      <c r="O40" s="385" t="str">
        <f>IF(N34=2,"","Aug,13")</f>
        <v>Aug,13</v>
      </c>
      <c r="P40" s="396">
        <f t="shared" si="0"/>
        <v>12</v>
      </c>
      <c r="Q40" s="396">
        <f>IF(AND(T116=1),U109,IF(AND(T116&lt;=N40-1),U117,U109))</f>
        <v>12</v>
      </c>
      <c r="R40" s="396">
        <f>IF(AND(AA49=1),C9,IF(AND(AA49&lt;=N40-1),L9,C9))</f>
        <v>0</v>
      </c>
      <c r="S40" s="396">
        <f>IF(AND(AA47=1),C15,IF(AND(AA47&lt;=N40-1),O15,C15))</f>
        <v>1500</v>
      </c>
      <c r="T40" s="396">
        <f>IF(AND(AA48=1),G16,IF(AND(AA48&lt;=N40-1),P16,G16))</f>
        <v>450</v>
      </c>
      <c r="U40" s="396">
        <f t="shared" si="1"/>
        <v>60</v>
      </c>
      <c r="V40" s="396">
        <f t="shared" si="2"/>
        <v>1111</v>
      </c>
      <c r="W40" s="396">
        <f t="shared" si="3"/>
        <v>0</v>
      </c>
      <c r="X40" s="388"/>
      <c r="Y40" s="388"/>
      <c r="Z40" s="386"/>
      <c r="AA40" s="386">
        <v>7</v>
      </c>
      <c r="AB40" s="386" t="s">
        <v>558</v>
      </c>
      <c r="AC40" s="386"/>
      <c r="AD40" s="386"/>
      <c r="AE40" s="388"/>
      <c r="AF40" s="397"/>
      <c r="AG40" s="388"/>
      <c r="AH40" s="388"/>
      <c r="AI40" s="388"/>
      <c r="AJ40" s="388"/>
      <c r="AK40" s="388"/>
      <c r="AL40" s="388"/>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row>
    <row r="41" spans="1:194" s="393" customFormat="1" ht="27.75" customHeight="1" hidden="1">
      <c r="A41" s="386"/>
      <c r="B41" s="465"/>
      <c r="C41" s="465"/>
      <c r="D41" s="465"/>
      <c r="E41" s="465"/>
      <c r="F41" s="465"/>
      <c r="G41" s="465"/>
      <c r="H41" s="465" t="s">
        <v>523</v>
      </c>
      <c r="I41" s="465"/>
      <c r="J41" s="465"/>
      <c r="K41" s="465"/>
      <c r="L41" s="465"/>
      <c r="M41" s="465"/>
      <c r="N41" s="395">
        <v>8</v>
      </c>
      <c r="O41" s="385" t="str">
        <f>IF(N34=2,"","Sept,13")</f>
        <v>Sept,13</v>
      </c>
      <c r="P41" s="396">
        <f t="shared" si="0"/>
        <v>12</v>
      </c>
      <c r="Q41" s="396">
        <f>IF(AND(T116=1),U109,IF(AND(T116&lt;=N41-1),U117,U109))</f>
        <v>12</v>
      </c>
      <c r="R41" s="396">
        <f>IF(AND(AA49=1),C9,IF(AND(AA49&lt;=N41-1),L9,C9))</f>
        <v>0</v>
      </c>
      <c r="S41" s="396">
        <f>IF(AND(AA47=1),C15,IF(AND(AA47&lt;=N41-1),O15,C15))</f>
        <v>1500</v>
      </c>
      <c r="T41" s="396">
        <f>IF(AND(AA48=1),G16,IF(AND(AA48&lt;=N41-1),P16,G16))</f>
        <v>450</v>
      </c>
      <c r="U41" s="396">
        <f t="shared" si="1"/>
        <v>60</v>
      </c>
      <c r="V41" s="396">
        <f t="shared" si="2"/>
        <v>1111</v>
      </c>
      <c r="W41" s="396">
        <f t="shared" si="3"/>
        <v>0</v>
      </c>
      <c r="X41" s="388"/>
      <c r="Y41" s="388"/>
      <c r="Z41" s="386"/>
      <c r="AA41" s="386">
        <v>8</v>
      </c>
      <c r="AB41" s="386" t="s">
        <v>559</v>
      </c>
      <c r="AC41" s="386"/>
      <c r="AD41" s="386"/>
      <c r="AE41" s="388"/>
      <c r="AF41" s="388"/>
      <c r="AG41" s="388"/>
      <c r="AH41" s="388"/>
      <c r="AI41" s="388"/>
      <c r="AJ41" s="388"/>
      <c r="AK41" s="388"/>
      <c r="AL41" s="388"/>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6"/>
      <c r="DE41" s="386"/>
      <c r="DF41" s="386"/>
      <c r="DG41" s="386"/>
      <c r="DH41" s="386"/>
      <c r="DI41" s="386"/>
      <c r="DJ41" s="386"/>
      <c r="DK41" s="386"/>
      <c r="DL41" s="386"/>
      <c r="DM41" s="386"/>
      <c r="DN41" s="386"/>
      <c r="DO41" s="386"/>
      <c r="DP41" s="386"/>
      <c r="DQ41" s="386"/>
      <c r="DR41" s="386"/>
      <c r="DS41" s="386"/>
      <c r="DT41" s="386"/>
      <c r="DU41" s="386"/>
      <c r="DV41" s="386"/>
      <c r="DW41" s="386"/>
      <c r="DX41" s="386"/>
      <c r="DY41" s="386"/>
      <c r="DZ41" s="386"/>
      <c r="EA41" s="386"/>
      <c r="EB41" s="386"/>
      <c r="EC41" s="386"/>
      <c r="ED41" s="386"/>
      <c r="EE41" s="386"/>
      <c r="EF41" s="386"/>
      <c r="EG41" s="386"/>
      <c r="EH41" s="386"/>
      <c r="EI41" s="386"/>
      <c r="EJ41" s="386"/>
      <c r="EK41" s="386"/>
      <c r="EL41" s="386"/>
      <c r="EM41" s="386"/>
      <c r="EN41" s="386"/>
      <c r="EO41" s="386"/>
      <c r="EP41" s="386"/>
      <c r="EQ41" s="386"/>
      <c r="ER41" s="386"/>
      <c r="ES41" s="386"/>
      <c r="ET41" s="386"/>
      <c r="EU41" s="386"/>
      <c r="EV41" s="386"/>
      <c r="EW41" s="386"/>
      <c r="EX41" s="386"/>
      <c r="EY41" s="386"/>
      <c r="EZ41" s="386"/>
      <c r="FA41" s="386"/>
      <c r="FB41" s="386"/>
      <c r="FC41" s="386"/>
      <c r="FD41" s="386"/>
      <c r="FE41" s="386"/>
      <c r="FF41" s="386"/>
      <c r="FG41" s="386"/>
      <c r="FH41" s="386"/>
      <c r="FI41" s="386"/>
      <c r="FJ41" s="386"/>
      <c r="FK41" s="386"/>
      <c r="FL41" s="386"/>
      <c r="FM41" s="386"/>
      <c r="FN41" s="386"/>
      <c r="FO41" s="386"/>
      <c r="FP41" s="386"/>
      <c r="FQ41" s="386"/>
      <c r="FR41" s="386"/>
      <c r="FS41" s="386"/>
      <c r="FT41" s="386"/>
      <c r="FU41" s="386"/>
      <c r="FV41" s="386"/>
      <c r="FW41" s="386"/>
      <c r="FX41" s="386"/>
      <c r="FY41" s="386"/>
      <c r="FZ41" s="386"/>
      <c r="GA41" s="386"/>
      <c r="GB41" s="386"/>
      <c r="GC41" s="386"/>
      <c r="GD41" s="386"/>
      <c r="GE41" s="386"/>
      <c r="GF41" s="386"/>
      <c r="GG41" s="386"/>
      <c r="GH41" s="386"/>
      <c r="GI41" s="386"/>
      <c r="GJ41" s="386"/>
      <c r="GK41" s="386"/>
      <c r="GL41" s="386"/>
    </row>
    <row r="42" spans="1:194" s="393" customFormat="1" ht="27.75" customHeight="1" hidden="1">
      <c r="A42" s="386"/>
      <c r="B42" s="465"/>
      <c r="C42" s="465"/>
      <c r="D42" s="465"/>
      <c r="E42" s="465"/>
      <c r="F42" s="465"/>
      <c r="G42" s="465"/>
      <c r="H42" s="465"/>
      <c r="I42" s="465"/>
      <c r="J42" s="465"/>
      <c r="K42" s="465"/>
      <c r="L42" s="465"/>
      <c r="M42" s="465"/>
      <c r="N42" s="395">
        <v>9</v>
      </c>
      <c r="O42" s="385" t="str">
        <f>IF(N34=2,"","Oct,13")</f>
        <v>Oct,13</v>
      </c>
      <c r="P42" s="396">
        <f t="shared" si="0"/>
        <v>12</v>
      </c>
      <c r="Q42" s="396">
        <f>IF(AND(T116=1),U109,IF(AND(T116&lt;=N42-1),U117,U109))</f>
        <v>12</v>
      </c>
      <c r="R42" s="396">
        <f>IF(AND(AA49=1),C9,IF(AND(AA49&lt;=N42-1),L9,C9))</f>
        <v>0</v>
      </c>
      <c r="S42" s="396">
        <f>IF(AND(AA47=1),C15,IF(AND(AA47&lt;=N42-1),O15,C15))</f>
        <v>1500</v>
      </c>
      <c r="T42" s="396">
        <f>IF(AND(AA48=1),G16,IF(AND(AA48&lt;=N42-1),P16,G16))</f>
        <v>450</v>
      </c>
      <c r="U42" s="396">
        <f t="shared" si="1"/>
        <v>60</v>
      </c>
      <c r="V42" s="396">
        <f t="shared" si="2"/>
        <v>1111</v>
      </c>
      <c r="W42" s="396">
        <f t="shared" si="3"/>
        <v>0</v>
      </c>
      <c r="X42" s="388"/>
      <c r="Y42" s="388"/>
      <c r="Z42" s="386"/>
      <c r="AA42" s="386">
        <v>9</v>
      </c>
      <c r="AB42" s="386" t="s">
        <v>560</v>
      </c>
      <c r="AC42" s="386"/>
      <c r="AD42" s="386"/>
      <c r="AE42" s="388"/>
      <c r="AF42" s="398"/>
      <c r="AG42" s="388"/>
      <c r="AH42" s="388"/>
      <c r="AI42" s="388"/>
      <c r="AJ42" s="388"/>
      <c r="AK42" s="388"/>
      <c r="AL42" s="388"/>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6"/>
      <c r="FO42" s="386"/>
      <c r="FP42" s="386"/>
      <c r="FQ42" s="386"/>
      <c r="FR42" s="386"/>
      <c r="FS42" s="386"/>
      <c r="FT42" s="386"/>
      <c r="FU42" s="386"/>
      <c r="FV42" s="386"/>
      <c r="FW42" s="386"/>
      <c r="FX42" s="386"/>
      <c r="FY42" s="386"/>
      <c r="FZ42" s="386"/>
      <c r="GA42" s="386"/>
      <c r="GB42" s="386"/>
      <c r="GC42" s="386"/>
      <c r="GD42" s="386"/>
      <c r="GE42" s="386"/>
      <c r="GF42" s="386"/>
      <c r="GG42" s="386"/>
      <c r="GH42" s="386"/>
      <c r="GI42" s="386"/>
      <c r="GJ42" s="386"/>
      <c r="GK42" s="386"/>
      <c r="GL42" s="386"/>
    </row>
    <row r="43" spans="1:194" s="393" customFormat="1" ht="27.75" customHeight="1" hidden="1">
      <c r="A43" s="386"/>
      <c r="B43" s="465"/>
      <c r="C43" s="465"/>
      <c r="D43" s="465"/>
      <c r="E43" s="465"/>
      <c r="F43" s="465"/>
      <c r="G43" s="465"/>
      <c r="H43" s="465"/>
      <c r="I43" s="465"/>
      <c r="J43" s="465"/>
      <c r="K43" s="465"/>
      <c r="L43" s="465"/>
      <c r="M43" s="465"/>
      <c r="N43" s="395">
        <v>10</v>
      </c>
      <c r="O43" s="385" t="str">
        <f>IF(N34=2,"","Nov,13")</f>
        <v>Nov,13</v>
      </c>
      <c r="P43" s="396">
        <f t="shared" si="0"/>
        <v>12</v>
      </c>
      <c r="Q43" s="396">
        <f>IF(AND(T116=1),U109,IF(AND(T116&lt;=N43-1),U117,U109))</f>
        <v>12</v>
      </c>
      <c r="R43" s="396">
        <f>IF(AND(AA49=1),C9,IF(AND(AA49&lt;=N43-1),L9,C9))</f>
        <v>0</v>
      </c>
      <c r="S43" s="396">
        <f>IF(AND(AA47=1),C15,IF(AND(AA47&lt;=N43-1),O15,C15))</f>
        <v>1500</v>
      </c>
      <c r="T43" s="396">
        <f>IF(AND(AA48=1),G16,IF(AND(AA48&lt;=N43-1),P16,G16))</f>
        <v>450</v>
      </c>
      <c r="U43" s="396">
        <f t="shared" si="1"/>
        <v>60</v>
      </c>
      <c r="V43" s="396">
        <f t="shared" si="2"/>
        <v>1111</v>
      </c>
      <c r="W43" s="396">
        <f t="shared" si="3"/>
        <v>0</v>
      </c>
      <c r="X43" s="388"/>
      <c r="Y43" s="388"/>
      <c r="Z43" s="386"/>
      <c r="AA43" s="386">
        <v>10</v>
      </c>
      <c r="AB43" s="386" t="s">
        <v>561</v>
      </c>
      <c r="AC43" s="386"/>
      <c r="AD43" s="386"/>
      <c r="AE43" s="388"/>
      <c r="AF43" s="388"/>
      <c r="AG43" s="388"/>
      <c r="AH43" s="388"/>
      <c r="AI43" s="388"/>
      <c r="AJ43" s="388"/>
      <c r="AK43" s="388"/>
      <c r="AL43" s="388"/>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c r="ES43" s="386"/>
      <c r="ET43" s="386"/>
      <c r="EU43" s="386"/>
      <c r="EV43" s="386"/>
      <c r="EW43" s="386"/>
      <c r="EX43" s="386"/>
      <c r="EY43" s="386"/>
      <c r="EZ43" s="386"/>
      <c r="FA43" s="386"/>
      <c r="FB43" s="386"/>
      <c r="FC43" s="386"/>
      <c r="FD43" s="386"/>
      <c r="FE43" s="386"/>
      <c r="FF43" s="386"/>
      <c r="FG43" s="386"/>
      <c r="FH43" s="386"/>
      <c r="FI43" s="386"/>
      <c r="FJ43" s="386"/>
      <c r="FK43" s="386"/>
      <c r="FL43" s="386"/>
      <c r="FM43" s="386"/>
      <c r="FN43" s="386"/>
      <c r="FO43" s="386"/>
      <c r="FP43" s="386"/>
      <c r="FQ43" s="386"/>
      <c r="FR43" s="386"/>
      <c r="FS43" s="386"/>
      <c r="FT43" s="386"/>
      <c r="FU43" s="386"/>
      <c r="FV43" s="386"/>
      <c r="FW43" s="386"/>
      <c r="FX43" s="386"/>
      <c r="FY43" s="386"/>
      <c r="FZ43" s="386"/>
      <c r="GA43" s="386"/>
      <c r="GB43" s="386"/>
      <c r="GC43" s="386"/>
      <c r="GD43" s="386"/>
      <c r="GE43" s="386"/>
      <c r="GF43" s="386"/>
      <c r="GG43" s="386"/>
      <c r="GH43" s="386"/>
      <c r="GI43" s="386"/>
      <c r="GJ43" s="386"/>
      <c r="GK43" s="386"/>
      <c r="GL43" s="386"/>
    </row>
    <row r="44" spans="1:194" s="393" customFormat="1" ht="27.75" customHeight="1" hidden="1">
      <c r="A44" s="386"/>
      <c r="B44" s="465"/>
      <c r="C44" s="465"/>
      <c r="D44" s="465"/>
      <c r="E44" s="465"/>
      <c r="F44" s="465"/>
      <c r="G44" s="465"/>
      <c r="H44" s="465"/>
      <c r="I44" s="465"/>
      <c r="J44" s="465"/>
      <c r="K44" s="465"/>
      <c r="L44" s="465"/>
      <c r="M44" s="465"/>
      <c r="N44" s="395">
        <v>11</v>
      </c>
      <c r="O44" s="385" t="str">
        <f>IF(N34=2,"","Dec,13")</f>
        <v>Dec,13</v>
      </c>
      <c r="P44" s="396">
        <f t="shared" si="0"/>
        <v>12</v>
      </c>
      <c r="Q44" s="396">
        <f>IF(AND(T116=1),U109,IF(AND(T116&lt;=N44-1),U117,U109))</f>
        <v>12</v>
      </c>
      <c r="R44" s="396">
        <f>IF(AND(AA49=1),C9,IF(AND(AA49&lt;=N44-1),L9,C9))</f>
        <v>0</v>
      </c>
      <c r="S44" s="396">
        <f>IF(AND(AA47=1),C15,IF(AND(AA47&lt;=N44-1),O15,C15))</f>
        <v>1500</v>
      </c>
      <c r="T44" s="396">
        <f>IF(AND(AA48=1),G16,IF(AND(AA48&lt;=N44-1),P16,G16))</f>
        <v>450</v>
      </c>
      <c r="U44" s="396">
        <f t="shared" si="1"/>
        <v>60</v>
      </c>
      <c r="V44" s="396">
        <f t="shared" si="2"/>
        <v>1111</v>
      </c>
      <c r="W44" s="396">
        <f t="shared" si="3"/>
        <v>0</v>
      </c>
      <c r="X44" s="388"/>
      <c r="Y44" s="388"/>
      <c r="Z44" s="386"/>
      <c r="AA44" s="386">
        <v>11</v>
      </c>
      <c r="AB44" s="386" t="s">
        <v>562</v>
      </c>
      <c r="AC44" s="386"/>
      <c r="AD44" s="386"/>
      <c r="AE44" s="388"/>
      <c r="AF44" s="388"/>
      <c r="AG44" s="388"/>
      <c r="AH44" s="388"/>
      <c r="AI44" s="388"/>
      <c r="AJ44" s="388"/>
      <c r="AK44" s="388"/>
      <c r="AL44" s="388"/>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row>
    <row r="45" spans="1:194" s="393" customFormat="1" ht="27.75" customHeight="1" hidden="1">
      <c r="A45" s="386"/>
      <c r="B45" s="465"/>
      <c r="C45" s="465"/>
      <c r="D45" s="465"/>
      <c r="E45" s="465"/>
      <c r="F45" s="465"/>
      <c r="G45" s="465"/>
      <c r="H45" s="465"/>
      <c r="I45" s="465"/>
      <c r="J45" s="465"/>
      <c r="K45" s="465"/>
      <c r="L45" s="465"/>
      <c r="M45" s="465"/>
      <c r="N45" s="395">
        <v>12</v>
      </c>
      <c r="O45" s="385" t="str">
        <f>IF(N34=2,"","Jan,14")</f>
        <v>Jan,14</v>
      </c>
      <c r="P45" s="396">
        <f t="shared" si="0"/>
        <v>12</v>
      </c>
      <c r="Q45" s="396">
        <f>IF(AND(T116=1),U109,IF(AND(T116&lt;=N45-1),U117,U109))</f>
        <v>12</v>
      </c>
      <c r="R45" s="396">
        <f>IF(AND(AA49=1),C9,IF(AND(AA49&lt;=N45-1),L9,C9))</f>
        <v>0</v>
      </c>
      <c r="S45" s="396">
        <f>IF(AND(AA47=1),C15,IF(AND(AA47&lt;=N45-1),O15,C15))</f>
        <v>1500</v>
      </c>
      <c r="T45" s="396">
        <f>IF(AND(AA48=1),G16,IF(AND(AA48&lt;=N45-1),P16,G16))</f>
        <v>450</v>
      </c>
      <c r="U45" s="396">
        <f t="shared" si="1"/>
        <v>60</v>
      </c>
      <c r="V45" s="396">
        <f t="shared" si="2"/>
        <v>1111</v>
      </c>
      <c r="W45" s="396">
        <f t="shared" si="3"/>
        <v>0</v>
      </c>
      <c r="X45" s="388"/>
      <c r="Y45" s="388"/>
      <c r="Z45" s="386"/>
      <c r="AA45" s="386">
        <v>12</v>
      </c>
      <c r="AB45" s="386" t="s">
        <v>563</v>
      </c>
      <c r="AC45" s="386"/>
      <c r="AD45" s="386"/>
      <c r="AE45" s="388"/>
      <c r="AF45" s="388"/>
      <c r="AG45" s="388"/>
      <c r="AH45" s="388"/>
      <c r="AI45" s="388"/>
      <c r="AJ45" s="388"/>
      <c r="AK45" s="388"/>
      <c r="AL45" s="388"/>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row>
    <row r="46" spans="1:194" s="393" customFormat="1" ht="27.75" customHeight="1" hidden="1" thickBot="1">
      <c r="A46" s="386"/>
      <c r="B46" s="465"/>
      <c r="C46" s="465"/>
      <c r="D46" s="465"/>
      <c r="E46" s="465"/>
      <c r="F46" s="465"/>
      <c r="G46" s="465"/>
      <c r="H46" s="465"/>
      <c r="I46" s="465"/>
      <c r="J46" s="465"/>
      <c r="K46" s="465"/>
      <c r="L46" s="465"/>
      <c r="M46" s="465"/>
      <c r="N46" s="395">
        <v>13</v>
      </c>
      <c r="O46" s="385" t="str">
        <f>IF(N34=2,"","Feb,14")</f>
        <v>Feb,14</v>
      </c>
      <c r="P46" s="396">
        <f t="shared" si="0"/>
        <v>12</v>
      </c>
      <c r="Q46" s="396">
        <f>IF(AND(T116=1),U109,IF(AND(T116&lt;=N46-1),U117,U109))</f>
        <v>12</v>
      </c>
      <c r="R46" s="396">
        <f>IF(AND(AA49=1),C9,IF(AND(AA49&lt;=N46-1),L9,C9))</f>
        <v>0</v>
      </c>
      <c r="S46" s="396">
        <f>IF(AND(AA47=1),C15,IF(AND(AA47&lt;=N46-1),O15,C15))</f>
        <v>1500</v>
      </c>
      <c r="T46" s="396">
        <f>IF(AND(AA48=1),G16,IF(AND(AA48&lt;=N46-1),P16,G16))</f>
        <v>450</v>
      </c>
      <c r="U46" s="396">
        <f t="shared" si="1"/>
        <v>60</v>
      </c>
      <c r="V46" s="396">
        <f t="shared" si="2"/>
        <v>1111</v>
      </c>
      <c r="W46" s="396">
        <f t="shared" si="3"/>
        <v>0</v>
      </c>
      <c r="X46" s="386"/>
      <c r="Y46" s="386"/>
      <c r="Z46" s="386"/>
      <c r="AA46" s="386"/>
      <c r="AB46" s="386"/>
      <c r="AC46" s="386"/>
      <c r="AD46" s="386"/>
      <c r="AE46" s="388"/>
      <c r="AF46" s="388"/>
      <c r="AG46" s="388"/>
      <c r="AH46" s="388"/>
      <c r="AI46" s="388"/>
      <c r="AJ46" s="388"/>
      <c r="AK46" s="388"/>
      <c r="AL46" s="388"/>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row>
    <row r="47" spans="1:194" s="393" customFormat="1" ht="27.75" customHeight="1" hidden="1">
      <c r="A47" s="386"/>
      <c r="B47" s="465"/>
      <c r="C47" s="465"/>
      <c r="D47" s="465"/>
      <c r="E47" s="465"/>
      <c r="F47" s="465"/>
      <c r="G47" s="465"/>
      <c r="H47" s="465"/>
      <c r="I47" s="465"/>
      <c r="J47" s="465"/>
      <c r="K47" s="465"/>
      <c r="L47" s="465"/>
      <c r="M47" s="465"/>
      <c r="N47" s="399"/>
      <c r="O47" s="400"/>
      <c r="P47" s="400"/>
      <c r="Q47" s="400"/>
      <c r="R47" s="400"/>
      <c r="S47" s="400"/>
      <c r="T47" s="400"/>
      <c r="U47" s="400"/>
      <c r="V47" s="400"/>
      <c r="W47" s="400"/>
      <c r="X47" s="386"/>
      <c r="Y47" s="401"/>
      <c r="Z47" s="402" t="s">
        <v>10</v>
      </c>
      <c r="AA47" s="402">
        <v>1</v>
      </c>
      <c r="AB47" s="403" t="str">
        <f>VLOOKUP(AA47,AA34:AB45,2,0)</f>
        <v>No Change</v>
      </c>
      <c r="AC47" s="386"/>
      <c r="AD47" s="386"/>
      <c r="AE47" s="388"/>
      <c r="AF47" s="388"/>
      <c r="AG47" s="388"/>
      <c r="AH47" s="388"/>
      <c r="AI47" s="388"/>
      <c r="AJ47" s="388"/>
      <c r="AK47" s="388"/>
      <c r="AL47" s="388"/>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row>
    <row r="48" spans="1:194" s="393" customFormat="1" ht="27.75" customHeight="1" hidden="1">
      <c r="A48" s="386"/>
      <c r="B48" s="465"/>
      <c r="C48" s="465"/>
      <c r="D48" s="465"/>
      <c r="E48" s="465"/>
      <c r="F48" s="465"/>
      <c r="G48" s="465"/>
      <c r="H48" s="465"/>
      <c r="I48" s="465"/>
      <c r="J48" s="465"/>
      <c r="K48" s="465"/>
      <c r="L48" s="465"/>
      <c r="M48" s="465"/>
      <c r="N48" s="386"/>
      <c r="O48" s="387"/>
      <c r="P48" s="387" t="s">
        <v>26</v>
      </c>
      <c r="Q48" s="387" t="s">
        <v>27</v>
      </c>
      <c r="R48" s="387"/>
      <c r="S48" s="387"/>
      <c r="T48" s="386"/>
      <c r="U48" s="386"/>
      <c r="V48" s="386"/>
      <c r="W48" s="386"/>
      <c r="X48" s="386"/>
      <c r="Y48" s="404"/>
      <c r="Z48" s="388" t="s">
        <v>149</v>
      </c>
      <c r="AA48" s="388">
        <v>1</v>
      </c>
      <c r="AB48" s="405" t="str">
        <f>VLOOKUP(AA48,AA34:AB45,2,0)</f>
        <v>No Change</v>
      </c>
      <c r="AC48" s="386"/>
      <c r="AD48" s="386"/>
      <c r="AE48" s="388"/>
      <c r="AF48" s="388"/>
      <c r="AG48" s="388"/>
      <c r="AH48" s="388"/>
      <c r="AI48" s="388"/>
      <c r="AJ48" s="388"/>
      <c r="AK48" s="388"/>
      <c r="AL48" s="388"/>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row>
    <row r="49" spans="1:194" s="393" customFormat="1" ht="27.75" customHeight="1" hidden="1" thickBot="1">
      <c r="A49" s="386"/>
      <c r="B49" s="465"/>
      <c r="C49" s="465"/>
      <c r="D49" s="465"/>
      <c r="E49" s="465"/>
      <c r="F49" s="465"/>
      <c r="G49" s="465"/>
      <c r="H49" s="465"/>
      <c r="I49" s="465"/>
      <c r="J49" s="465"/>
      <c r="K49" s="465"/>
      <c r="L49" s="465"/>
      <c r="M49" s="465"/>
      <c r="N49" s="585" t="s">
        <v>25</v>
      </c>
      <c r="O49" s="585"/>
      <c r="P49" s="396">
        <v>0</v>
      </c>
      <c r="Q49" s="396">
        <v>0</v>
      </c>
      <c r="R49" s="387"/>
      <c r="S49" s="586" t="s">
        <v>29</v>
      </c>
      <c r="T49" s="586"/>
      <c r="U49" s="586"/>
      <c r="V49" s="396">
        <v>60000</v>
      </c>
      <c r="W49" s="386"/>
      <c r="X49" s="386"/>
      <c r="Y49" s="406"/>
      <c r="Z49" s="407" t="s">
        <v>186</v>
      </c>
      <c r="AA49" s="407">
        <v>1</v>
      </c>
      <c r="AB49" s="405" t="str">
        <f>VLOOKUP(AA49,AA34:AB45,2,0)</f>
        <v>No Change</v>
      </c>
      <c r="AC49" s="386"/>
      <c r="AD49" s="386"/>
      <c r="AE49" s="386"/>
      <c r="AF49" s="386" t="s">
        <v>171</v>
      </c>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row>
    <row r="50" spans="1:194" s="393" customFormat="1" ht="27.75" customHeight="1" hidden="1" thickBot="1">
      <c r="A50" s="386"/>
      <c r="B50" s="465"/>
      <c r="C50" s="465"/>
      <c r="D50" s="465"/>
      <c r="E50" s="465"/>
      <c r="F50" s="465"/>
      <c r="G50" s="465"/>
      <c r="H50" s="465"/>
      <c r="I50" s="465"/>
      <c r="J50" s="465"/>
      <c r="K50" s="465"/>
      <c r="L50" s="465"/>
      <c r="M50" s="465"/>
      <c r="N50" s="386"/>
      <c r="O50" s="387"/>
      <c r="P50" s="387"/>
      <c r="Q50" s="387"/>
      <c r="R50" s="387"/>
      <c r="S50" s="587"/>
      <c r="T50" s="587"/>
      <c r="U50" s="587"/>
      <c r="V50" s="587"/>
      <c r="W50" s="386"/>
      <c r="X50" s="386"/>
      <c r="Y50" s="386"/>
      <c r="Z50" s="386" t="s">
        <v>22</v>
      </c>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row>
    <row r="51" spans="1:194" s="393" customFormat="1" ht="27.75" customHeight="1" hidden="1">
      <c r="A51" s="386"/>
      <c r="B51" s="465"/>
      <c r="C51" s="465"/>
      <c r="D51" s="465"/>
      <c r="E51" s="465"/>
      <c r="F51" s="465"/>
      <c r="G51" s="465"/>
      <c r="H51" s="465"/>
      <c r="I51" s="465"/>
      <c r="J51" s="465"/>
      <c r="K51" s="465"/>
      <c r="L51" s="465"/>
      <c r="M51" s="465"/>
      <c r="N51" s="576" t="s">
        <v>28</v>
      </c>
      <c r="O51" s="576"/>
      <c r="P51" s="576"/>
      <c r="Q51" s="396">
        <v>12173</v>
      </c>
      <c r="R51" s="387"/>
      <c r="S51" s="576" t="s">
        <v>30</v>
      </c>
      <c r="T51" s="576"/>
      <c r="U51" s="576"/>
      <c r="V51" s="396">
        <v>0</v>
      </c>
      <c r="W51" s="386"/>
      <c r="X51" s="386"/>
      <c r="Y51" s="386"/>
      <c r="Z51" s="386"/>
      <c r="AA51" s="386"/>
      <c r="AB51" s="386"/>
      <c r="AC51" s="408" t="s">
        <v>8</v>
      </c>
      <c r="AD51" s="386"/>
      <c r="AE51" s="386"/>
      <c r="AF51" s="386" t="str">
        <f>CONCATENATE("Statement Showing the Salary Particulars of : ",AB21," ",D3,", ",Z4,", ",C4,", Mandal : ",L4)</f>
        <v>Statement Showing the Salary Particulars of : Sri. G.Venugopal, SGT, MPPS, NN Colony, Dhone, Mandal : Dhone</v>
      </c>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row>
    <row r="52" spans="1:194" s="393" customFormat="1" ht="27.75" customHeight="1" hidden="1" thickBot="1">
      <c r="A52" s="386"/>
      <c r="B52" s="465"/>
      <c r="C52" s="465"/>
      <c r="D52" s="465"/>
      <c r="E52" s="465"/>
      <c r="F52" s="465"/>
      <c r="G52" s="465"/>
      <c r="H52" s="465"/>
      <c r="I52" s="465"/>
      <c r="J52" s="465"/>
      <c r="K52" s="465"/>
      <c r="L52" s="465"/>
      <c r="M52" s="465"/>
      <c r="N52" s="386"/>
      <c r="O52" s="386"/>
      <c r="P52" s="386"/>
      <c r="Q52" s="386"/>
      <c r="R52" s="386"/>
      <c r="S52" s="386"/>
      <c r="T52" s="386"/>
      <c r="U52" s="386"/>
      <c r="V52" s="386"/>
      <c r="W52" s="386"/>
      <c r="X52" s="386"/>
      <c r="Y52" s="386">
        <f>C102</f>
        <v>17</v>
      </c>
      <c r="Z52" s="386"/>
      <c r="AA52" s="386">
        <v>2</v>
      </c>
      <c r="AB52" s="386"/>
      <c r="AC52" s="409">
        <v>2</v>
      </c>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row>
    <row r="53" spans="1:194" s="393" customFormat="1" ht="27.75" customHeight="1" hidden="1">
      <c r="A53" s="386"/>
      <c r="B53" s="465"/>
      <c r="C53" s="465"/>
      <c r="D53" s="465"/>
      <c r="E53" s="465"/>
      <c r="F53" s="465"/>
      <c r="G53" s="465"/>
      <c r="H53" s="465"/>
      <c r="I53" s="465"/>
      <c r="J53" s="465"/>
      <c r="K53" s="465"/>
      <c r="L53" s="465"/>
      <c r="M53" s="466">
        <v>1</v>
      </c>
      <c r="N53" s="402" t="str">
        <f>VLOOKUP(M53,M54:N55,2,0)</f>
        <v>Medical Insurance Premium + EHF Deduction</v>
      </c>
      <c r="O53" s="402"/>
      <c r="P53" s="402"/>
      <c r="Q53" s="402"/>
      <c r="R53" s="410">
        <f>VLOOKUP(M53,M54:S55,7,0)</f>
        <v>15000</v>
      </c>
      <c r="S53" s="527">
        <f>M22+'Annexure -I'!S24</f>
        <v>360</v>
      </c>
      <c r="T53" s="411">
        <f>MIN(R53,S53)</f>
        <v>360</v>
      </c>
      <c r="U53" s="386"/>
      <c r="V53" s="386"/>
      <c r="W53" s="386"/>
      <c r="X53" s="386"/>
      <c r="Y53" s="386">
        <f>IF(AA72=2,"","1")</f>
      </c>
      <c r="Z53" s="386"/>
      <c r="AA53" s="386">
        <v>1</v>
      </c>
      <c r="AB53" s="386" t="s">
        <v>31</v>
      </c>
      <c r="AC53" s="409" t="str">
        <f>VLOOKUP(AC52,AA53:AB54,2,0)</f>
        <v>No</v>
      </c>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row>
    <row r="54" spans="1:194" s="393" customFormat="1" ht="27.75" customHeight="1" hidden="1">
      <c r="A54" s="386"/>
      <c r="B54" s="465"/>
      <c r="C54" s="465"/>
      <c r="D54" s="465"/>
      <c r="E54" s="465"/>
      <c r="F54" s="465"/>
      <c r="G54" s="465"/>
      <c r="H54" s="465"/>
      <c r="I54" s="465"/>
      <c r="J54" s="465"/>
      <c r="K54" s="465"/>
      <c r="L54" s="465"/>
      <c r="M54" s="467">
        <v>1</v>
      </c>
      <c r="N54" s="412" t="s">
        <v>612</v>
      </c>
      <c r="O54" s="412"/>
      <c r="P54" s="412"/>
      <c r="Q54" s="412"/>
      <c r="R54" s="412"/>
      <c r="S54" s="413">
        <v>15000</v>
      </c>
      <c r="T54" s="405"/>
      <c r="U54" s="386"/>
      <c r="V54" s="386"/>
      <c r="W54" s="386"/>
      <c r="X54" s="386"/>
      <c r="Y54" s="386">
        <f>IF(AA72=2,"","2")</f>
      </c>
      <c r="Z54" s="386"/>
      <c r="AA54" s="386">
        <v>2</v>
      </c>
      <c r="AB54" s="386" t="s">
        <v>32</v>
      </c>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row>
    <row r="55" spans="1:194" s="393" customFormat="1" ht="27.75" customHeight="1" hidden="1" thickBot="1">
      <c r="A55" s="386"/>
      <c r="B55" s="465"/>
      <c r="C55" s="465"/>
      <c r="D55" s="465"/>
      <c r="E55" s="465"/>
      <c r="F55" s="465"/>
      <c r="G55" s="465"/>
      <c r="H55" s="465"/>
      <c r="I55" s="465"/>
      <c r="J55" s="465"/>
      <c r="K55" s="465"/>
      <c r="L55" s="465"/>
      <c r="M55" s="468">
        <v>2</v>
      </c>
      <c r="N55" s="414" t="s">
        <v>613</v>
      </c>
      <c r="O55" s="414"/>
      <c r="P55" s="414"/>
      <c r="Q55" s="414"/>
      <c r="R55" s="414"/>
      <c r="S55" s="415">
        <v>20000</v>
      </c>
      <c r="T55" s="416"/>
      <c r="U55" s="386"/>
      <c r="V55" s="386"/>
      <c r="W55" s="386"/>
      <c r="X55" s="386"/>
      <c r="Y55" s="386">
        <f>IF(AA72=2,"","3")</f>
      </c>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v>1</v>
      </c>
      <c r="BK55" s="386" t="str">
        <f>VLOOKUP(BJ55,BJ57:BK81,2,)</f>
        <v>Not Availed</v>
      </c>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row>
    <row r="56" spans="1:194" s="393" customFormat="1" ht="27.75" customHeight="1" hidden="1">
      <c r="A56" s="386"/>
      <c r="B56" s="465"/>
      <c r="C56" s="465"/>
      <c r="D56" s="465"/>
      <c r="E56" s="465"/>
      <c r="F56" s="465"/>
      <c r="G56" s="465"/>
      <c r="H56" s="465"/>
      <c r="I56" s="465"/>
      <c r="J56" s="465"/>
      <c r="K56" s="465"/>
      <c r="L56" s="465"/>
      <c r="M56" s="466">
        <v>1</v>
      </c>
      <c r="N56" s="417" t="str">
        <f>VLOOKUP(M56,M57:N58,2,0)</f>
        <v>Expenditure on medical treatment</v>
      </c>
      <c r="O56" s="410"/>
      <c r="P56" s="410"/>
      <c r="Q56" s="410"/>
      <c r="R56" s="410">
        <f>VLOOKUP(M56,M57:S58,7,0)</f>
        <v>40000</v>
      </c>
      <c r="S56" s="418">
        <f>M22</f>
        <v>0</v>
      </c>
      <c r="T56" s="411">
        <f>MIN(R56,S56)</f>
        <v>0</v>
      </c>
      <c r="U56" s="386"/>
      <c r="V56" s="386"/>
      <c r="W56" s="386"/>
      <c r="X56" s="386"/>
      <c r="Y56" s="386">
        <f>IF(AA72=2,"","4")</f>
      </c>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419" t="s">
        <v>2</v>
      </c>
      <c r="BN56" s="419" t="s">
        <v>3</v>
      </c>
      <c r="BO56" s="419" t="s">
        <v>4</v>
      </c>
      <c r="BP56" s="419" t="s">
        <v>6</v>
      </c>
      <c r="BQ56" s="419" t="s">
        <v>7</v>
      </c>
      <c r="BR56" s="419" t="s">
        <v>180</v>
      </c>
      <c r="BS56" s="419" t="s">
        <v>46</v>
      </c>
      <c r="BT56" s="419" t="s">
        <v>186</v>
      </c>
      <c r="BU56" s="419" t="s">
        <v>8</v>
      </c>
      <c r="BV56" s="419" t="s">
        <v>182</v>
      </c>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row>
    <row r="57" spans="1:194" s="393" customFormat="1" ht="27.75" customHeight="1" hidden="1">
      <c r="A57" s="386"/>
      <c r="B57" s="465"/>
      <c r="C57" s="465"/>
      <c r="D57" s="465"/>
      <c r="E57" s="465"/>
      <c r="F57" s="465"/>
      <c r="G57" s="465"/>
      <c r="H57" s="465"/>
      <c r="I57" s="465"/>
      <c r="J57" s="465"/>
      <c r="K57" s="465"/>
      <c r="L57" s="465"/>
      <c r="M57" s="467">
        <v>1</v>
      </c>
      <c r="N57" s="412" t="s">
        <v>261</v>
      </c>
      <c r="O57" s="412"/>
      <c r="P57" s="412"/>
      <c r="Q57" s="412"/>
      <c r="R57" s="412"/>
      <c r="S57" s="413">
        <v>40000</v>
      </c>
      <c r="T57" s="405"/>
      <c r="U57" s="386"/>
      <c r="V57" s="386"/>
      <c r="W57" s="386"/>
      <c r="X57" s="386"/>
      <c r="Y57" s="386">
        <f>IF(AA72=2,"","5")</f>
      </c>
      <c r="Z57" s="386"/>
      <c r="AA57" s="386">
        <v>7</v>
      </c>
      <c r="AB57" s="386" t="str">
        <f>VLOOKUP(AA57,AA58:AB70,2,0)</f>
        <v>Aug,14</v>
      </c>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v>1</v>
      </c>
      <c r="BK57" s="386" t="s">
        <v>172</v>
      </c>
      <c r="BL57" s="386"/>
      <c r="BM57" s="386">
        <v>0</v>
      </c>
      <c r="BN57" s="386">
        <v>0</v>
      </c>
      <c r="BO57" s="386">
        <v>0</v>
      </c>
      <c r="BP57" s="386">
        <v>0</v>
      </c>
      <c r="BQ57" s="386">
        <v>0</v>
      </c>
      <c r="BR57" s="386">
        <v>0</v>
      </c>
      <c r="BS57" s="386">
        <v>0</v>
      </c>
      <c r="BT57" s="386">
        <v>0</v>
      </c>
      <c r="BU57" s="386">
        <v>0</v>
      </c>
      <c r="BV57" s="386">
        <v>0</v>
      </c>
      <c r="BW57" s="386">
        <v>0</v>
      </c>
      <c r="BX57" s="386">
        <v>0</v>
      </c>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row>
    <row r="58" spans="1:194" s="393" customFormat="1" ht="27.75" customHeight="1" hidden="1" thickBot="1">
      <c r="A58" s="386"/>
      <c r="B58" s="465"/>
      <c r="C58" s="465"/>
      <c r="D58" s="465"/>
      <c r="E58" s="465"/>
      <c r="F58" s="465"/>
      <c r="G58" s="465"/>
      <c r="H58" s="465"/>
      <c r="I58" s="465"/>
      <c r="J58" s="465"/>
      <c r="K58" s="465"/>
      <c r="L58" s="465"/>
      <c r="M58" s="468">
        <v>2</v>
      </c>
      <c r="N58" s="414" t="s">
        <v>262</v>
      </c>
      <c r="O58" s="414"/>
      <c r="P58" s="414"/>
      <c r="Q58" s="414"/>
      <c r="R58" s="414"/>
      <c r="S58" s="415">
        <v>60000</v>
      </c>
      <c r="T58" s="416"/>
      <c r="U58" s="386"/>
      <c r="V58" s="386"/>
      <c r="W58" s="386"/>
      <c r="X58" s="386"/>
      <c r="Y58" s="386">
        <f>IF(AA72=2,"","6")</f>
      </c>
      <c r="Z58" s="386"/>
      <c r="AA58" s="386">
        <v>1</v>
      </c>
      <c r="AB58" s="386" t="s">
        <v>166</v>
      </c>
      <c r="AC58" s="420" t="s">
        <v>167</v>
      </c>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v>2</v>
      </c>
      <c r="BK58" s="386" t="s">
        <v>574</v>
      </c>
      <c r="BL58" s="386"/>
      <c r="BM58" s="386">
        <f>ROUND('Annexure -I'!C4/2,0.1)</f>
        <v>8075</v>
      </c>
      <c r="BN58" s="386">
        <f>ROUND('Annexure -I'!D4/2,0.1)</f>
        <v>5114</v>
      </c>
      <c r="BO58" s="386">
        <f>ROUND('Annexure -I'!E4/2,0.1)</f>
        <v>969</v>
      </c>
      <c r="BP58" s="386">
        <v>0</v>
      </c>
      <c r="BQ58" s="386">
        <f>ROUND('Annexure -I'!G4/2,0.1)</f>
        <v>0</v>
      </c>
      <c r="BR58" s="386">
        <f>ROUND('Annexure -I'!H4/2,0.1)</f>
        <v>0</v>
      </c>
      <c r="BS58" s="386">
        <v>0</v>
      </c>
      <c r="BT58" s="386">
        <f>ROUND('Annexure -I'!K4/2,0.1)</f>
        <v>0</v>
      </c>
      <c r="BU58" s="386">
        <v>0</v>
      </c>
      <c r="BV58" s="386">
        <f aca="true" t="shared" si="4" ref="BV58:BV83">SUM(BM58:BU58)</f>
        <v>14158</v>
      </c>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row>
    <row r="59" spans="1:194" s="393" customFormat="1" ht="27.75" customHeight="1" hidden="1">
      <c r="A59" s="386"/>
      <c r="B59" s="465"/>
      <c r="C59" s="465"/>
      <c r="D59" s="465"/>
      <c r="E59" s="465"/>
      <c r="F59" s="465"/>
      <c r="G59" s="465"/>
      <c r="H59" s="465"/>
      <c r="I59" s="465"/>
      <c r="J59" s="465"/>
      <c r="K59" s="465"/>
      <c r="L59" s="465"/>
      <c r="M59" s="466">
        <v>1</v>
      </c>
      <c r="N59" s="417" t="str">
        <f>VLOOKUP(M59,M60:N61,2,0)</f>
        <v>Donation of Charitable Institution</v>
      </c>
      <c r="O59" s="410"/>
      <c r="P59" s="410"/>
      <c r="Q59" s="410"/>
      <c r="R59" s="410">
        <f>VLOOKUP(M59,M60:S61,7,0)</f>
        <v>100000</v>
      </c>
      <c r="S59" s="418">
        <f>M23</f>
        <v>0</v>
      </c>
      <c r="T59" s="411">
        <f>MIN(R59,S59)</f>
        <v>0</v>
      </c>
      <c r="U59" s="386"/>
      <c r="V59" s="386"/>
      <c r="W59" s="386"/>
      <c r="X59" s="386"/>
      <c r="Y59" s="386">
        <f>IF(AA72=2,"","7")</f>
      </c>
      <c r="Z59" s="386"/>
      <c r="AA59" s="386">
        <v>2</v>
      </c>
      <c r="AB59" s="386" t="s">
        <v>536</v>
      </c>
      <c r="AC59" s="420" t="s">
        <v>152</v>
      </c>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v>3</v>
      </c>
      <c r="BK59" s="386" t="s">
        <v>575</v>
      </c>
      <c r="BL59" s="386"/>
      <c r="BM59" s="386">
        <f>'Annexure -I'!C4</f>
        <v>16150</v>
      </c>
      <c r="BN59" s="386">
        <f>'Annexure -I'!D4</f>
        <v>10228</v>
      </c>
      <c r="BO59" s="386">
        <f>'Annexure -I'!E4</f>
        <v>1938</v>
      </c>
      <c r="BP59" s="386">
        <v>0</v>
      </c>
      <c r="BQ59" s="386">
        <f>'Annexure -I'!G4</f>
        <v>0</v>
      </c>
      <c r="BR59" s="386">
        <f>'Annexure -I'!H4</f>
        <v>0</v>
      </c>
      <c r="BS59" s="386">
        <v>0</v>
      </c>
      <c r="BT59" s="386">
        <f>'Annexure -I'!K4</f>
        <v>0</v>
      </c>
      <c r="BU59" s="386">
        <v>0</v>
      </c>
      <c r="BV59" s="386">
        <f t="shared" si="4"/>
        <v>28316</v>
      </c>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row>
    <row r="60" spans="1:194" s="393" customFormat="1" ht="27.75" customHeight="1" hidden="1">
      <c r="A60" s="386"/>
      <c r="B60" s="465"/>
      <c r="C60" s="465"/>
      <c r="D60" s="465"/>
      <c r="E60" s="465"/>
      <c r="F60" s="465"/>
      <c r="G60" s="465"/>
      <c r="H60" s="465"/>
      <c r="I60" s="465"/>
      <c r="J60" s="465"/>
      <c r="K60" s="465"/>
      <c r="L60" s="465"/>
      <c r="M60" s="467">
        <v>1</v>
      </c>
      <c r="N60" s="412" t="s">
        <v>263</v>
      </c>
      <c r="O60" s="412"/>
      <c r="P60" s="412"/>
      <c r="Q60" s="412"/>
      <c r="R60" s="412"/>
      <c r="S60" s="413">
        <v>100000</v>
      </c>
      <c r="T60" s="405"/>
      <c r="U60" s="386"/>
      <c r="V60" s="386"/>
      <c r="W60" s="386"/>
      <c r="X60" s="386"/>
      <c r="Y60" s="386">
        <f>IF(AA72=2,"","8")</f>
      </c>
      <c r="Z60" s="386"/>
      <c r="AA60" s="386">
        <v>3</v>
      </c>
      <c r="AB60" s="386" t="s">
        <v>553</v>
      </c>
      <c r="AC60" s="420" t="s">
        <v>153</v>
      </c>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v>4</v>
      </c>
      <c r="BK60" s="386" t="s">
        <v>576</v>
      </c>
      <c r="BL60" s="386"/>
      <c r="BM60" s="386">
        <f>ROUND('Annexure -I'!C5/2,0.1)</f>
        <v>8075</v>
      </c>
      <c r="BN60" s="386">
        <f>ROUND('Annexure -I'!D5/2,0.1)</f>
        <v>5114</v>
      </c>
      <c r="BO60" s="386">
        <f>ROUND('Annexure -I'!E5/2,0.1)</f>
        <v>969</v>
      </c>
      <c r="BP60" s="386">
        <v>0</v>
      </c>
      <c r="BQ60" s="386">
        <f>ROUND('Annexure -I'!G5/2,0.1)</f>
        <v>0</v>
      </c>
      <c r="BR60" s="386">
        <f>ROUND('Annexure -I'!H5/2,0.1)</f>
        <v>0</v>
      </c>
      <c r="BS60" s="386">
        <v>0</v>
      </c>
      <c r="BT60" s="386">
        <f>ROUND('Annexure -I'!K5/2,0.1)</f>
        <v>0</v>
      </c>
      <c r="BU60" s="386">
        <v>0</v>
      </c>
      <c r="BV60" s="386">
        <f t="shared" si="4"/>
        <v>14158</v>
      </c>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row>
    <row r="61" spans="1:194" s="393" customFormat="1" ht="27.75" customHeight="1" hidden="1" thickBot="1">
      <c r="A61" s="386"/>
      <c r="B61" s="465"/>
      <c r="C61" s="465"/>
      <c r="D61" s="465"/>
      <c r="E61" s="465"/>
      <c r="F61" s="465"/>
      <c r="G61" s="465"/>
      <c r="H61" s="465"/>
      <c r="I61" s="465"/>
      <c r="J61" s="465"/>
      <c r="K61" s="465"/>
      <c r="L61" s="465"/>
      <c r="M61" s="468">
        <v>2</v>
      </c>
      <c r="N61" s="414" t="s">
        <v>264</v>
      </c>
      <c r="O61" s="414"/>
      <c r="P61" s="414"/>
      <c r="Q61" s="414"/>
      <c r="R61" s="414"/>
      <c r="S61" s="415">
        <v>100000</v>
      </c>
      <c r="T61" s="416"/>
      <c r="U61" s="386"/>
      <c r="V61" s="386"/>
      <c r="W61" s="386"/>
      <c r="X61" s="386"/>
      <c r="Y61" s="386">
        <f>IF(AA72=2,"","9")</f>
      </c>
      <c r="Z61" s="386"/>
      <c r="AA61" s="386">
        <v>4</v>
      </c>
      <c r="AB61" s="386" t="s">
        <v>554</v>
      </c>
      <c r="AC61" s="420" t="s">
        <v>154</v>
      </c>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v>5</v>
      </c>
      <c r="BK61" s="386" t="s">
        <v>577</v>
      </c>
      <c r="BL61" s="386"/>
      <c r="BM61" s="386">
        <f>'Annexure -I'!C5</f>
        <v>16150</v>
      </c>
      <c r="BN61" s="386">
        <f>'Annexure -I'!D5</f>
        <v>10228</v>
      </c>
      <c r="BO61" s="386">
        <f>'Annexure -I'!E5</f>
        <v>1938</v>
      </c>
      <c r="BP61" s="386">
        <v>0</v>
      </c>
      <c r="BQ61" s="386">
        <f>'Annexure -I'!G5</f>
        <v>0</v>
      </c>
      <c r="BR61" s="386">
        <f>'Annexure -I'!H5</f>
        <v>0</v>
      </c>
      <c r="BS61" s="386">
        <v>0</v>
      </c>
      <c r="BT61" s="386">
        <f>'Annexure -I'!K5</f>
        <v>0</v>
      </c>
      <c r="BU61" s="386">
        <v>0</v>
      </c>
      <c r="BV61" s="386">
        <f t="shared" si="4"/>
        <v>28316</v>
      </c>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row>
    <row r="62" spans="1:194" s="393" customFormat="1" ht="27.75" customHeight="1" hidden="1">
      <c r="A62" s="386"/>
      <c r="B62" s="465"/>
      <c r="C62" s="465"/>
      <c r="D62" s="465"/>
      <c r="E62" s="465"/>
      <c r="F62" s="465"/>
      <c r="G62" s="465"/>
      <c r="H62" s="465"/>
      <c r="I62" s="465"/>
      <c r="J62" s="465"/>
      <c r="K62" s="465"/>
      <c r="L62" s="465"/>
      <c r="M62" s="466"/>
      <c r="N62" s="410"/>
      <c r="O62" s="410"/>
      <c r="P62" s="410"/>
      <c r="Q62" s="410"/>
      <c r="R62" s="410"/>
      <c r="S62" s="418"/>
      <c r="T62" s="403"/>
      <c r="U62" s="386"/>
      <c r="V62" s="386"/>
      <c r="W62" s="386"/>
      <c r="X62" s="386"/>
      <c r="Y62" s="386">
        <f>IF(AA72=2,"","10")</f>
      </c>
      <c r="Z62" s="386"/>
      <c r="AA62" s="386">
        <v>5</v>
      </c>
      <c r="AB62" s="386" t="s">
        <v>555</v>
      </c>
      <c r="AC62" s="420" t="s">
        <v>155</v>
      </c>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v>6</v>
      </c>
      <c r="BK62" s="386" t="s">
        <v>578</v>
      </c>
      <c r="BL62" s="386"/>
      <c r="BM62" s="386">
        <f>ROUND('Annexure -I'!C6/2,0.1)</f>
        <v>8075</v>
      </c>
      <c r="BN62" s="386">
        <f>ROUND('Annexure -I'!D6/2,0.1)</f>
        <v>5806</v>
      </c>
      <c r="BO62" s="386">
        <f>ROUND('Annexure -I'!E6/2,0.1)</f>
        <v>969</v>
      </c>
      <c r="BP62" s="386">
        <v>0</v>
      </c>
      <c r="BQ62" s="386">
        <f>ROUND('Annexure -I'!G6/2,0.1)</f>
        <v>0</v>
      </c>
      <c r="BR62" s="386">
        <f>ROUND('Annexure -I'!H6/2,0.1)</f>
        <v>0</v>
      </c>
      <c r="BS62" s="386">
        <v>0</v>
      </c>
      <c r="BT62" s="386">
        <f>ROUND('Annexure -I'!K6/2,0.1)</f>
        <v>0</v>
      </c>
      <c r="BU62" s="386">
        <v>0</v>
      </c>
      <c r="BV62" s="386">
        <f t="shared" si="4"/>
        <v>14850</v>
      </c>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row>
    <row r="63" spans="1:194" s="393" customFormat="1" ht="27.75" customHeight="1" hidden="1">
      <c r="A63" s="386"/>
      <c r="B63" s="465"/>
      <c r="C63" s="465"/>
      <c r="D63" s="465"/>
      <c r="E63" s="465"/>
      <c r="F63" s="465"/>
      <c r="G63" s="465"/>
      <c r="H63" s="465"/>
      <c r="I63" s="465"/>
      <c r="J63" s="465"/>
      <c r="K63" s="465"/>
      <c r="L63" s="465"/>
      <c r="M63" s="467"/>
      <c r="N63" s="412" t="s">
        <v>258</v>
      </c>
      <c r="O63" s="412"/>
      <c r="P63" s="412"/>
      <c r="Q63" s="412"/>
      <c r="R63" s="413">
        <v>200000</v>
      </c>
      <c r="S63" s="388">
        <f>M18</f>
        <v>0</v>
      </c>
      <c r="T63" s="421">
        <f>MIN(R63,S63)</f>
        <v>0</v>
      </c>
      <c r="U63" s="386"/>
      <c r="V63" s="386"/>
      <c r="W63" s="386"/>
      <c r="X63" s="386"/>
      <c r="Y63" s="386">
        <f>IF(AA72=2,"","11")</f>
      </c>
      <c r="Z63" s="386"/>
      <c r="AA63" s="386">
        <v>6</v>
      </c>
      <c r="AB63" s="386" t="s">
        <v>556</v>
      </c>
      <c r="AC63" s="420" t="s">
        <v>156</v>
      </c>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v>7</v>
      </c>
      <c r="BK63" s="386" t="s">
        <v>579</v>
      </c>
      <c r="BL63" s="386"/>
      <c r="BM63" s="386">
        <f>'Annexure -I'!C6</f>
        <v>16150</v>
      </c>
      <c r="BN63" s="386">
        <f>'Annexure -I'!D6</f>
        <v>11612</v>
      </c>
      <c r="BO63" s="386">
        <f>'Annexure -I'!E6</f>
        <v>1938</v>
      </c>
      <c r="BP63" s="386">
        <v>0</v>
      </c>
      <c r="BQ63" s="386">
        <f>'Annexure -I'!G6</f>
        <v>0</v>
      </c>
      <c r="BR63" s="386">
        <f>'Annexure -I'!H6</f>
        <v>0</v>
      </c>
      <c r="BS63" s="386">
        <v>0</v>
      </c>
      <c r="BT63" s="386">
        <f>'Annexure -I'!K6</f>
        <v>0</v>
      </c>
      <c r="BU63" s="386">
        <v>0</v>
      </c>
      <c r="BV63" s="386">
        <f t="shared" si="4"/>
        <v>29700</v>
      </c>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row>
    <row r="64" spans="1:194" s="393" customFormat="1" ht="27.75" customHeight="1" hidden="1">
      <c r="A64" s="386"/>
      <c r="B64" s="465"/>
      <c r="C64" s="465"/>
      <c r="D64" s="465"/>
      <c r="E64" s="465"/>
      <c r="F64" s="465"/>
      <c r="G64" s="465"/>
      <c r="H64" s="465"/>
      <c r="I64" s="465"/>
      <c r="J64" s="465"/>
      <c r="K64" s="465"/>
      <c r="L64" s="465"/>
      <c r="M64" s="467"/>
      <c r="N64" s="412"/>
      <c r="O64" s="412"/>
      <c r="P64" s="412"/>
      <c r="Q64" s="412"/>
      <c r="R64" s="413"/>
      <c r="S64" s="388"/>
      <c r="T64" s="405"/>
      <c r="U64" s="386"/>
      <c r="V64" s="386"/>
      <c r="W64" s="386"/>
      <c r="X64" s="386"/>
      <c r="Y64" s="386">
        <f>IF(AA72=2,"","12")</f>
      </c>
      <c r="Z64" s="386"/>
      <c r="AA64" s="386">
        <v>7</v>
      </c>
      <c r="AB64" s="386" t="s">
        <v>557</v>
      </c>
      <c r="AC64" s="420" t="s">
        <v>157</v>
      </c>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v>8</v>
      </c>
      <c r="BK64" s="386" t="s">
        <v>580</v>
      </c>
      <c r="BL64" s="386"/>
      <c r="BM64" s="386">
        <f>ROUND('Annexure -I'!C7/2,0.1)</f>
        <v>8075</v>
      </c>
      <c r="BN64" s="386">
        <f>ROUND('Annexure -I'!D7/2,0.1)</f>
        <v>5806</v>
      </c>
      <c r="BO64" s="386">
        <f>ROUND('Annexure -I'!E7/2,0.1)</f>
        <v>969</v>
      </c>
      <c r="BP64" s="386">
        <v>0</v>
      </c>
      <c r="BQ64" s="386">
        <f>ROUND('Annexure -I'!G7/2,0.1)</f>
        <v>0</v>
      </c>
      <c r="BR64" s="386">
        <f>ROUND('Annexure -I'!H7/2,0.1)</f>
        <v>0</v>
      </c>
      <c r="BS64" s="386">
        <v>0</v>
      </c>
      <c r="BT64" s="386">
        <f>ROUND('Annexure -I'!K7/2,0.1)</f>
        <v>0</v>
      </c>
      <c r="BU64" s="386">
        <v>0</v>
      </c>
      <c r="BV64" s="386">
        <f t="shared" si="4"/>
        <v>14850</v>
      </c>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row>
    <row r="65" spans="1:194" s="393" customFormat="1" ht="27.75" customHeight="1" hidden="1">
      <c r="A65" s="386"/>
      <c r="B65" s="465"/>
      <c r="C65" s="465"/>
      <c r="D65" s="465"/>
      <c r="E65" s="465"/>
      <c r="F65" s="465"/>
      <c r="G65" s="465"/>
      <c r="H65" s="465"/>
      <c r="I65" s="465"/>
      <c r="J65" s="465"/>
      <c r="K65" s="465"/>
      <c r="L65" s="465"/>
      <c r="M65" s="467"/>
      <c r="N65" s="412" t="s">
        <v>259</v>
      </c>
      <c r="O65" s="412"/>
      <c r="P65" s="412"/>
      <c r="Q65" s="412"/>
      <c r="R65" s="413">
        <v>200000</v>
      </c>
      <c r="S65" s="388">
        <f>M19</f>
        <v>0</v>
      </c>
      <c r="T65" s="421">
        <f>MIN(R65,S65)</f>
        <v>0</v>
      </c>
      <c r="U65" s="386"/>
      <c r="V65" s="386"/>
      <c r="W65" s="386"/>
      <c r="X65" s="386"/>
      <c r="Y65" s="386">
        <f>IF(AA72=2,"","13")</f>
      </c>
      <c r="Z65" s="386"/>
      <c r="AA65" s="386">
        <v>8</v>
      </c>
      <c r="AB65" s="386" t="s">
        <v>558</v>
      </c>
      <c r="AC65" s="420" t="s">
        <v>158</v>
      </c>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v>9</v>
      </c>
      <c r="BK65" s="386" t="s">
        <v>581</v>
      </c>
      <c r="BL65" s="386"/>
      <c r="BM65" s="386">
        <f>'Annexure -I'!C7</f>
        <v>16150</v>
      </c>
      <c r="BN65" s="386">
        <f>'Annexure -I'!D7</f>
        <v>11612</v>
      </c>
      <c r="BO65" s="386">
        <f>'Annexure -I'!E7</f>
        <v>1938</v>
      </c>
      <c r="BP65" s="386">
        <v>0</v>
      </c>
      <c r="BQ65" s="386">
        <f>'Annexure -I'!G7</f>
        <v>0</v>
      </c>
      <c r="BR65" s="386">
        <f>'Annexure -I'!H7</f>
        <v>0</v>
      </c>
      <c r="BS65" s="386">
        <v>0</v>
      </c>
      <c r="BT65" s="386">
        <f>'Annexure -I'!K7</f>
        <v>0</v>
      </c>
      <c r="BU65" s="386">
        <v>0</v>
      </c>
      <c r="BV65" s="386">
        <f t="shared" si="4"/>
        <v>29700</v>
      </c>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row>
    <row r="66" spans="1:194" s="393" customFormat="1" ht="27.75" customHeight="1" hidden="1">
      <c r="A66" s="386"/>
      <c r="B66" s="465"/>
      <c r="C66" s="465"/>
      <c r="D66" s="465"/>
      <c r="E66" s="465"/>
      <c r="F66" s="465"/>
      <c r="G66" s="465"/>
      <c r="H66" s="465"/>
      <c r="I66" s="465"/>
      <c r="J66" s="465"/>
      <c r="K66" s="465"/>
      <c r="L66" s="465"/>
      <c r="M66" s="467"/>
      <c r="N66" s="412"/>
      <c r="O66" s="412"/>
      <c r="P66" s="412"/>
      <c r="Q66" s="412"/>
      <c r="R66" s="413"/>
      <c r="S66" s="388"/>
      <c r="T66" s="421"/>
      <c r="U66" s="386"/>
      <c r="V66" s="386"/>
      <c r="W66" s="386"/>
      <c r="X66" s="386"/>
      <c r="Y66" s="386">
        <f>IF(AA72=2,"","14")</f>
      </c>
      <c r="Z66" s="386"/>
      <c r="AA66" s="386">
        <v>9</v>
      </c>
      <c r="AB66" s="386" t="s">
        <v>559</v>
      </c>
      <c r="AC66" s="420" t="s">
        <v>159</v>
      </c>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v>10</v>
      </c>
      <c r="BK66" s="386" t="s">
        <v>582</v>
      </c>
      <c r="BL66" s="386"/>
      <c r="BM66" s="386">
        <f>ROUND('Annexure -I'!C8/2,0.1)</f>
        <v>8075</v>
      </c>
      <c r="BN66" s="386">
        <f>ROUND('Annexure -I'!D8/2,0.1)</f>
        <v>5806</v>
      </c>
      <c r="BO66" s="386">
        <f>ROUND('Annexure -I'!E8/2,0.1)</f>
        <v>969</v>
      </c>
      <c r="BP66" s="386">
        <v>0</v>
      </c>
      <c r="BQ66" s="386">
        <f>ROUND('Annexure -I'!G8/2,0.1)</f>
        <v>0</v>
      </c>
      <c r="BR66" s="386">
        <f>ROUND('Annexure -I'!H8/2,0.1)</f>
        <v>0</v>
      </c>
      <c r="BS66" s="386">
        <v>0</v>
      </c>
      <c r="BT66" s="386">
        <f>ROUND('Annexure -I'!K8/2,0.1)</f>
        <v>0</v>
      </c>
      <c r="BU66" s="386">
        <v>0</v>
      </c>
      <c r="BV66" s="386">
        <f t="shared" si="4"/>
        <v>14850</v>
      </c>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row>
    <row r="67" spans="1:194" s="393" customFormat="1" ht="27.75" customHeight="1" hidden="1">
      <c r="A67" s="386"/>
      <c r="B67" s="465"/>
      <c r="C67" s="465"/>
      <c r="D67" s="465"/>
      <c r="E67" s="465"/>
      <c r="F67" s="465"/>
      <c r="G67" s="465"/>
      <c r="H67" s="465"/>
      <c r="I67" s="465"/>
      <c r="J67" s="465"/>
      <c r="K67" s="465"/>
      <c r="L67" s="465"/>
      <c r="M67" s="467"/>
      <c r="N67" s="412" t="s">
        <v>260</v>
      </c>
      <c r="O67" s="412"/>
      <c r="P67" s="412"/>
      <c r="Q67" s="412"/>
      <c r="R67" s="413">
        <v>50000</v>
      </c>
      <c r="S67" s="388">
        <f>M20</f>
        <v>0</v>
      </c>
      <c r="T67" s="421">
        <f>MIN(R67,S67)</f>
        <v>0</v>
      </c>
      <c r="U67" s="386"/>
      <c r="V67" s="386"/>
      <c r="W67" s="386"/>
      <c r="X67" s="386"/>
      <c r="Y67" s="386">
        <f>IF(AA72=2,"","15")</f>
      </c>
      <c r="Z67" s="386"/>
      <c r="AA67" s="386">
        <v>10</v>
      </c>
      <c r="AB67" s="386" t="s">
        <v>560</v>
      </c>
      <c r="AC67" s="420" t="s">
        <v>160</v>
      </c>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v>11</v>
      </c>
      <c r="BK67" s="386" t="s">
        <v>583</v>
      </c>
      <c r="BL67" s="386"/>
      <c r="BM67" s="386">
        <f>'Annexure -I'!C8</f>
        <v>16150</v>
      </c>
      <c r="BN67" s="386">
        <f>'Annexure -I'!D8</f>
        <v>11612</v>
      </c>
      <c r="BO67" s="386">
        <f>'Annexure -I'!E8</f>
        <v>1938</v>
      </c>
      <c r="BP67" s="386">
        <v>0</v>
      </c>
      <c r="BQ67" s="386">
        <f>'Annexure -I'!G8</f>
        <v>0</v>
      </c>
      <c r="BR67" s="386">
        <f>'Annexure -I'!H8</f>
        <v>0</v>
      </c>
      <c r="BS67" s="386">
        <v>0</v>
      </c>
      <c r="BT67" s="386">
        <f>'Annexure -I'!K8</f>
        <v>0</v>
      </c>
      <c r="BU67" s="386">
        <v>0</v>
      </c>
      <c r="BV67" s="386">
        <f t="shared" si="4"/>
        <v>29700</v>
      </c>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row>
    <row r="68" spans="1:194" s="393" customFormat="1" ht="27.75" customHeight="1" hidden="1" thickBot="1">
      <c r="A68" s="386"/>
      <c r="B68" s="465"/>
      <c r="C68" s="465"/>
      <c r="D68" s="465"/>
      <c r="E68" s="465"/>
      <c r="F68" s="465"/>
      <c r="G68" s="465"/>
      <c r="H68" s="465"/>
      <c r="I68" s="465"/>
      <c r="J68" s="465"/>
      <c r="K68" s="465"/>
      <c r="L68" s="465"/>
      <c r="M68" s="467">
        <v>2</v>
      </c>
      <c r="N68" s="412">
        <f>VLOOKUP(M68,M69:N70,2,0)</f>
      </c>
      <c r="O68" s="412"/>
      <c r="P68" s="412"/>
      <c r="Q68" s="412"/>
      <c r="R68" s="413">
        <f>VLOOKUP(M68,M69:R70,6,0)</f>
        <v>0</v>
      </c>
      <c r="S68" s="407">
        <f>M21</f>
        <v>0</v>
      </c>
      <c r="T68" s="422">
        <f>MIN(R68,S68)</f>
        <v>0</v>
      </c>
      <c r="U68" s="386"/>
      <c r="V68" s="386"/>
      <c r="W68" s="386"/>
      <c r="X68" s="386"/>
      <c r="Y68" s="386">
        <f>IF(AA72=2,"","16")</f>
      </c>
      <c r="Z68" s="386"/>
      <c r="AA68" s="386">
        <v>11</v>
      </c>
      <c r="AB68" s="386" t="s">
        <v>561</v>
      </c>
      <c r="AC68" s="420" t="s">
        <v>161</v>
      </c>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v>12</v>
      </c>
      <c r="BK68" s="386" t="s">
        <v>584</v>
      </c>
      <c r="BL68" s="386"/>
      <c r="BM68" s="386">
        <f>ROUND('Annexure -I'!C9/2,0.1)</f>
        <v>8300</v>
      </c>
      <c r="BN68" s="386">
        <f>ROUND('Annexure -I'!D9/2,0.1)</f>
        <v>5968</v>
      </c>
      <c r="BO68" s="386">
        <f>ROUND('Annexure -I'!E9/2,0.1)</f>
        <v>996</v>
      </c>
      <c r="BP68" s="386">
        <v>0</v>
      </c>
      <c r="BQ68" s="386">
        <f>ROUND('Annexure -I'!G9/2,0.1)</f>
        <v>0</v>
      </c>
      <c r="BR68" s="386">
        <f>ROUND('Annexure -I'!H9/2,0.1)</f>
        <v>0</v>
      </c>
      <c r="BS68" s="386">
        <v>0</v>
      </c>
      <c r="BT68" s="386">
        <f>ROUND('Annexure -I'!K9/2,0.1)</f>
        <v>0</v>
      </c>
      <c r="BU68" s="386">
        <v>0</v>
      </c>
      <c r="BV68" s="386">
        <f t="shared" si="4"/>
        <v>15264</v>
      </c>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row>
    <row r="69" spans="1:194" s="393" customFormat="1" ht="27.75" customHeight="1" hidden="1" thickBot="1">
      <c r="A69" s="386"/>
      <c r="B69" s="465"/>
      <c r="C69" s="465"/>
      <c r="D69" s="465"/>
      <c r="E69" s="465"/>
      <c r="F69" s="465"/>
      <c r="G69" s="465"/>
      <c r="H69" s="465"/>
      <c r="I69" s="465"/>
      <c r="J69" s="465"/>
      <c r="K69" s="465"/>
      <c r="L69" s="465"/>
      <c r="M69" s="468">
        <v>1</v>
      </c>
      <c r="N69" s="414">
        <f>IF($AC$52=1,"Maintaince for Below 80% disabled Employee","")</f>
      </c>
      <c r="O69" s="414"/>
      <c r="P69" s="414"/>
      <c r="Q69" s="414"/>
      <c r="R69" s="415">
        <f>IF($AC$52=1,50000,0)</f>
        <v>0</v>
      </c>
      <c r="S69" s="386"/>
      <c r="T69" s="386"/>
      <c r="U69" s="386"/>
      <c r="V69" s="386"/>
      <c r="W69" s="386"/>
      <c r="X69" s="386"/>
      <c r="Y69" s="386">
        <f>IF(AA72=2,"","17")</f>
      </c>
      <c r="Z69" s="386"/>
      <c r="AA69" s="386">
        <v>12</v>
      </c>
      <c r="AB69" s="386" t="s">
        <v>562</v>
      </c>
      <c r="AC69" s="420" t="s">
        <v>162</v>
      </c>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v>13</v>
      </c>
      <c r="BK69" s="386" t="s">
        <v>585</v>
      </c>
      <c r="BL69" s="386"/>
      <c r="BM69" s="386">
        <f>'Annexure -I'!C9</f>
        <v>16600</v>
      </c>
      <c r="BN69" s="386">
        <f>'Annexure -I'!D9</f>
        <v>11936</v>
      </c>
      <c r="BO69" s="386">
        <f>'Annexure -I'!E9</f>
        <v>1992</v>
      </c>
      <c r="BP69" s="386">
        <v>0</v>
      </c>
      <c r="BQ69" s="386">
        <f>'Annexure -I'!G9</f>
        <v>0</v>
      </c>
      <c r="BR69" s="386">
        <f>'Annexure -I'!H9</f>
        <v>0</v>
      </c>
      <c r="BS69" s="386">
        <v>0</v>
      </c>
      <c r="BT69" s="386">
        <f>'Annexure -I'!K9</f>
        <v>0</v>
      </c>
      <c r="BU69" s="386">
        <v>0</v>
      </c>
      <c r="BV69" s="386">
        <f t="shared" si="4"/>
        <v>30528</v>
      </c>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row>
    <row r="70" spans="1:194" s="393" customFormat="1" ht="27.75" customHeight="1" hidden="1" thickBot="1">
      <c r="A70" s="386"/>
      <c r="B70" s="465"/>
      <c r="C70" s="465"/>
      <c r="D70" s="465"/>
      <c r="E70" s="465"/>
      <c r="F70" s="465"/>
      <c r="G70" s="465"/>
      <c r="H70" s="465"/>
      <c r="I70" s="465"/>
      <c r="J70" s="465"/>
      <c r="K70" s="465"/>
      <c r="L70" s="465"/>
      <c r="M70" s="465">
        <v>2</v>
      </c>
      <c r="N70" s="414">
        <f>IF($AC$52=1,"Maintaince for 80% and above disabled Employee","")</f>
      </c>
      <c r="O70" s="386"/>
      <c r="P70" s="386"/>
      <c r="Q70" s="386"/>
      <c r="R70" s="386">
        <f>IF($AC$52=1,75000,0)</f>
        <v>0</v>
      </c>
      <c r="S70" s="386"/>
      <c r="T70" s="386"/>
      <c r="U70" s="386"/>
      <c r="V70" s="386"/>
      <c r="W70" s="386"/>
      <c r="X70" s="386"/>
      <c r="Y70" s="386">
        <f>IF(AA72=2,"","18")</f>
      </c>
      <c r="Z70" s="386"/>
      <c r="AA70" s="386">
        <v>13</v>
      </c>
      <c r="AB70" s="386" t="s">
        <v>563</v>
      </c>
      <c r="AC70" s="420" t="s">
        <v>163</v>
      </c>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v>14</v>
      </c>
      <c r="BK70" s="386" t="s">
        <v>586</v>
      </c>
      <c r="BL70" s="386"/>
      <c r="BM70" s="386">
        <f>ROUND('Annexure -I'!C10/2,0.1)</f>
        <v>8300</v>
      </c>
      <c r="BN70" s="386">
        <f>ROUND('Annexure -I'!D10/2,0.1)</f>
        <v>5968</v>
      </c>
      <c r="BO70" s="386">
        <f>ROUND('Annexure -I'!E10/2,0.1)</f>
        <v>996</v>
      </c>
      <c r="BP70" s="386">
        <v>0</v>
      </c>
      <c r="BQ70" s="386">
        <f>ROUND('Annexure -I'!G10/2,0.1)</f>
        <v>0</v>
      </c>
      <c r="BR70" s="386">
        <f>ROUND('Annexure -I'!H10/2,0.1)</f>
        <v>0</v>
      </c>
      <c r="BS70" s="386">
        <v>0</v>
      </c>
      <c r="BT70" s="386">
        <f>ROUND('Annexure -I'!K10/2,0.1)</f>
        <v>0</v>
      </c>
      <c r="BU70" s="386">
        <v>0</v>
      </c>
      <c r="BV70" s="386">
        <f t="shared" si="4"/>
        <v>15264</v>
      </c>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row>
    <row r="71" spans="1:194" s="393" customFormat="1" ht="27.75" customHeight="1" hidden="1">
      <c r="A71" s="386"/>
      <c r="B71" s="465"/>
      <c r="C71" s="465"/>
      <c r="D71" s="465"/>
      <c r="E71" s="465"/>
      <c r="F71" s="465"/>
      <c r="G71" s="465"/>
      <c r="H71" s="465"/>
      <c r="I71" s="465"/>
      <c r="J71" s="465"/>
      <c r="K71" s="465"/>
      <c r="L71" s="465"/>
      <c r="M71" s="465"/>
      <c r="N71" s="386"/>
      <c r="O71" s="386"/>
      <c r="P71" s="386"/>
      <c r="Q71" s="386"/>
      <c r="R71" s="386"/>
      <c r="S71" s="386"/>
      <c r="T71" s="386"/>
      <c r="U71" s="386"/>
      <c r="V71" s="386"/>
      <c r="W71" s="386"/>
      <c r="X71" s="386"/>
      <c r="Y71" s="386">
        <f>IF(AA72=2,"","19")</f>
      </c>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v>15</v>
      </c>
      <c r="BK71" s="386" t="s">
        <v>587</v>
      </c>
      <c r="BL71" s="386"/>
      <c r="BM71" s="386">
        <f>'Annexure -I'!C10</f>
        <v>16600</v>
      </c>
      <c r="BN71" s="386">
        <f>'Annexure -I'!D10</f>
        <v>11936</v>
      </c>
      <c r="BO71" s="386">
        <f>'Annexure -I'!E10</f>
        <v>1992</v>
      </c>
      <c r="BP71" s="386">
        <v>0</v>
      </c>
      <c r="BQ71" s="386">
        <f>'Annexure -I'!G10</f>
        <v>0</v>
      </c>
      <c r="BR71" s="386">
        <f>'Annexure -I'!H10</f>
        <v>0</v>
      </c>
      <c r="BS71" s="386">
        <v>0</v>
      </c>
      <c r="BT71" s="386">
        <f>'Annexure -I'!K10</f>
        <v>0</v>
      </c>
      <c r="BU71" s="386">
        <v>0</v>
      </c>
      <c r="BV71" s="386">
        <f t="shared" si="4"/>
        <v>30528</v>
      </c>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row>
    <row r="72" spans="1:194" s="393" customFormat="1" ht="27.75" customHeight="1" hidden="1">
      <c r="A72" s="386"/>
      <c r="B72" s="465"/>
      <c r="C72" s="465"/>
      <c r="D72" s="465"/>
      <c r="E72" s="465"/>
      <c r="F72" s="465"/>
      <c r="G72" s="465"/>
      <c r="H72" s="465" t="str">
        <f>CONCATENATE("Living in : ",N72)</f>
        <v>Living in : Rented House</v>
      </c>
      <c r="I72" s="465"/>
      <c r="J72" s="465"/>
      <c r="K72" s="465"/>
      <c r="L72" s="465"/>
      <c r="M72" s="465">
        <v>2</v>
      </c>
      <c r="N72" s="386" t="str">
        <f>VLOOKUP(M72,M73:N74,2,)</f>
        <v>Rented House</v>
      </c>
      <c r="O72" s="386"/>
      <c r="P72" s="386" t="str">
        <f>VLOOKUP(M72,M73:P74,4,0)</f>
        <v>To get HRA Exemption, your Rent will be Rs. 5000</v>
      </c>
      <c r="Q72" s="386"/>
      <c r="R72" s="386"/>
      <c r="S72" s="386"/>
      <c r="T72" s="386"/>
      <c r="U72" s="386"/>
      <c r="V72" s="386"/>
      <c r="W72" s="386"/>
      <c r="X72" s="386"/>
      <c r="Y72" s="386">
        <f>IF(AA72=2,"","20")</f>
      </c>
      <c r="Z72" s="386"/>
      <c r="AA72" s="423">
        <f>AA52</f>
        <v>2</v>
      </c>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v>16</v>
      </c>
      <c r="BK72" s="386" t="s">
        <v>588</v>
      </c>
      <c r="BL72" s="386"/>
      <c r="BM72" s="386">
        <f>ROUND('Annexure -I'!C11/2,0.1)</f>
        <v>8300</v>
      </c>
      <c r="BN72" s="386">
        <f>ROUND('Annexure -I'!D11/2,0.1)</f>
        <v>6466</v>
      </c>
      <c r="BO72" s="386">
        <f>ROUND('Annexure -I'!E11/2,0.1)</f>
        <v>996</v>
      </c>
      <c r="BP72" s="386">
        <v>0</v>
      </c>
      <c r="BQ72" s="386">
        <f>ROUND('Annexure -I'!G11/2,0.1)</f>
        <v>0</v>
      </c>
      <c r="BR72" s="386">
        <f>ROUND('Annexure -I'!H11/2,0.1)</f>
        <v>0</v>
      </c>
      <c r="BS72" s="386">
        <v>0</v>
      </c>
      <c r="BT72" s="386">
        <f>ROUND('Annexure -I'!K11/2,0.1)</f>
        <v>0</v>
      </c>
      <c r="BU72" s="386">
        <v>0</v>
      </c>
      <c r="BV72" s="386">
        <f t="shared" si="4"/>
        <v>15762</v>
      </c>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row>
    <row r="73" spans="1:194" s="393" customFormat="1" ht="27.75" customHeight="1" hidden="1">
      <c r="A73" s="386"/>
      <c r="B73" s="465"/>
      <c r="C73" s="465"/>
      <c r="D73" s="465"/>
      <c r="E73" s="465"/>
      <c r="F73" s="465"/>
      <c r="G73" s="465"/>
      <c r="H73" s="465"/>
      <c r="I73" s="465"/>
      <c r="J73" s="465"/>
      <c r="K73" s="465"/>
      <c r="L73" s="465"/>
      <c r="M73" s="465">
        <v>1</v>
      </c>
      <c r="N73" s="386" t="s">
        <v>266</v>
      </c>
      <c r="O73" s="386"/>
      <c r="P73" s="386" t="s">
        <v>501</v>
      </c>
      <c r="Q73" s="386"/>
      <c r="R73" s="386"/>
      <c r="S73" s="386"/>
      <c r="T73" s="386"/>
      <c r="U73" s="386"/>
      <c r="V73" s="386"/>
      <c r="W73" s="386"/>
      <c r="X73" s="386"/>
      <c r="Y73" s="386">
        <f>IF(AA72=2,"","21")</f>
      </c>
      <c r="Z73" s="386">
        <v>1</v>
      </c>
      <c r="AA73" s="386" t="s">
        <v>150</v>
      </c>
      <c r="AB73" s="386">
        <f>IF(AA72=2,"","March,14")</f>
      </c>
      <c r="AC73" s="386">
        <v>31</v>
      </c>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v>17</v>
      </c>
      <c r="BK73" s="386" t="s">
        <v>589</v>
      </c>
      <c r="BL73" s="386"/>
      <c r="BM73" s="386">
        <f>'Annexure -I'!C11</f>
        <v>16600</v>
      </c>
      <c r="BN73" s="386">
        <f>'Annexure -I'!D11</f>
        <v>12931</v>
      </c>
      <c r="BO73" s="386">
        <f>'Annexure -I'!E11</f>
        <v>1992</v>
      </c>
      <c r="BP73" s="386">
        <v>0</v>
      </c>
      <c r="BQ73" s="386">
        <f>'Annexure -I'!G11</f>
        <v>0</v>
      </c>
      <c r="BR73" s="386">
        <f>'Annexure -I'!H11</f>
        <v>0</v>
      </c>
      <c r="BS73" s="386">
        <v>0</v>
      </c>
      <c r="BT73" s="386">
        <f>'Annexure -I'!K11</f>
        <v>0</v>
      </c>
      <c r="BU73" s="386">
        <v>0</v>
      </c>
      <c r="BV73" s="386">
        <f t="shared" si="4"/>
        <v>31523</v>
      </c>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row>
    <row r="74" spans="1:194" s="393" customFormat="1" ht="27.75" customHeight="1" hidden="1">
      <c r="A74" s="386"/>
      <c r="B74" s="465"/>
      <c r="C74" s="465"/>
      <c r="D74" s="465"/>
      <c r="E74" s="465"/>
      <c r="F74" s="465"/>
      <c r="G74" s="465"/>
      <c r="H74" s="465"/>
      <c r="I74" s="465"/>
      <c r="J74" s="465"/>
      <c r="K74" s="465"/>
      <c r="L74" s="465"/>
      <c r="M74" s="465">
        <v>2</v>
      </c>
      <c r="N74" s="386" t="s">
        <v>15</v>
      </c>
      <c r="O74" s="386"/>
      <c r="P74" s="424" t="str">
        <f>CONCATENATE("To get HRA Exemption, your Rent will be Rs. ",P82)</f>
        <v>To get HRA Exemption, your Rent will be Rs. 5000</v>
      </c>
      <c r="Q74" s="386"/>
      <c r="R74" s="386"/>
      <c r="S74" s="386"/>
      <c r="T74" s="386"/>
      <c r="U74" s="386"/>
      <c r="V74" s="386"/>
      <c r="W74" s="386"/>
      <c r="X74" s="386"/>
      <c r="Y74" s="386">
        <f>IF(AA72=2,"","22")</f>
      </c>
      <c r="Z74" s="386">
        <v>2</v>
      </c>
      <c r="AA74" s="425">
        <v>8</v>
      </c>
      <c r="AB74" s="386">
        <f>IF(AA72=2,"","April,14")</f>
      </c>
      <c r="AC74" s="386">
        <v>30</v>
      </c>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v>18</v>
      </c>
      <c r="BK74" s="386" t="s">
        <v>590</v>
      </c>
      <c r="BL74" s="386"/>
      <c r="BM74" s="386">
        <f>ROUND('Annexure -I'!C12/2,0.1)</f>
        <v>8300</v>
      </c>
      <c r="BN74" s="386">
        <f>ROUND('Annexure -I'!D12/2,0.1)</f>
        <v>6466</v>
      </c>
      <c r="BO74" s="386">
        <f>ROUND('Annexure -I'!E12/2,0.1)</f>
        <v>996</v>
      </c>
      <c r="BP74" s="386">
        <v>0</v>
      </c>
      <c r="BQ74" s="386">
        <f>ROUND('Annexure -I'!G12/2,0.1)</f>
        <v>0</v>
      </c>
      <c r="BR74" s="386">
        <f>ROUND('Annexure -I'!H12/2,0.1)</f>
        <v>0</v>
      </c>
      <c r="BS74" s="386">
        <v>0</v>
      </c>
      <c r="BT74" s="386">
        <f>ROUND('Annexure -I'!K12/2,0.1)</f>
        <v>0</v>
      </c>
      <c r="BU74" s="386">
        <v>0</v>
      </c>
      <c r="BV74" s="386">
        <f t="shared" si="4"/>
        <v>15762</v>
      </c>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row>
    <row r="75" spans="1:194" s="393" customFormat="1" ht="27.75" customHeight="1" hidden="1">
      <c r="A75" s="386"/>
      <c r="B75" s="465"/>
      <c r="C75" s="465"/>
      <c r="D75" s="465"/>
      <c r="E75" s="465"/>
      <c r="F75" s="465"/>
      <c r="G75" s="465"/>
      <c r="H75" s="465"/>
      <c r="I75" s="465"/>
      <c r="J75" s="465"/>
      <c r="K75" s="465"/>
      <c r="L75" s="465"/>
      <c r="M75" s="465"/>
      <c r="N75" s="386"/>
      <c r="O75" s="386"/>
      <c r="P75" s="386"/>
      <c r="Q75" s="386"/>
      <c r="R75" s="386"/>
      <c r="S75" s="386"/>
      <c r="T75" s="386"/>
      <c r="U75" s="386"/>
      <c r="V75" s="386"/>
      <c r="W75" s="386"/>
      <c r="X75" s="386"/>
      <c r="Y75" s="386">
        <f>IF(AA72=2,"","23")</f>
      </c>
      <c r="Z75" s="386">
        <v>3</v>
      </c>
      <c r="AA75" s="386" t="str">
        <f>VLOOKUP(AA74+1,AA58:AB69,2,0)</f>
        <v>Oct,14</v>
      </c>
      <c r="AB75" s="386">
        <f>IF(AA72=2,"","May,14")</f>
      </c>
      <c r="AC75" s="386">
        <v>31</v>
      </c>
      <c r="AD75" s="386"/>
      <c r="AE75" s="386"/>
      <c r="AF75" s="386"/>
      <c r="AG75" s="386"/>
      <c r="AH75" s="386"/>
      <c r="AI75" s="386"/>
      <c r="AJ75" s="386"/>
      <c r="AK75" s="386"/>
      <c r="AL75" s="386"/>
      <c r="AM75" s="386"/>
      <c r="AU75" s="386"/>
      <c r="AV75" s="386"/>
      <c r="AW75" s="386"/>
      <c r="AX75" s="386"/>
      <c r="AY75" s="386"/>
      <c r="AZ75" s="386"/>
      <c r="BA75" s="386"/>
      <c r="BB75" s="386"/>
      <c r="BC75" s="386"/>
      <c r="BD75" s="386"/>
      <c r="BE75" s="386"/>
      <c r="BF75" s="386"/>
      <c r="BG75" s="386"/>
      <c r="BH75" s="386"/>
      <c r="BI75" s="386"/>
      <c r="BJ75" s="386">
        <v>19</v>
      </c>
      <c r="BK75" s="386" t="s">
        <v>591</v>
      </c>
      <c r="BL75" s="386"/>
      <c r="BM75" s="386">
        <f>'Annexure -I'!C12</f>
        <v>16600</v>
      </c>
      <c r="BN75" s="386">
        <f>'Annexure -I'!D12</f>
        <v>12931</v>
      </c>
      <c r="BO75" s="386">
        <f>'Annexure -I'!E12</f>
        <v>1992</v>
      </c>
      <c r="BP75" s="386">
        <v>0</v>
      </c>
      <c r="BQ75" s="386">
        <f>'Annexure -I'!G12</f>
        <v>0</v>
      </c>
      <c r="BR75" s="386">
        <f>'Annexure -I'!H12</f>
        <v>0</v>
      </c>
      <c r="BS75" s="386">
        <v>0</v>
      </c>
      <c r="BT75" s="386">
        <f>'Annexure -I'!K12</f>
        <v>0</v>
      </c>
      <c r="BU75" s="386">
        <v>0</v>
      </c>
      <c r="BV75" s="386">
        <f t="shared" si="4"/>
        <v>31523</v>
      </c>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row>
    <row r="76" spans="1:194" s="393" customFormat="1" ht="27.75" customHeight="1" hidden="1">
      <c r="A76" s="386"/>
      <c r="B76" s="465"/>
      <c r="C76" s="465"/>
      <c r="D76" s="465"/>
      <c r="E76" s="465"/>
      <c r="F76" s="465"/>
      <c r="G76" s="465"/>
      <c r="H76" s="465"/>
      <c r="I76" s="465"/>
      <c r="J76" s="465"/>
      <c r="K76" s="465"/>
      <c r="L76" s="465"/>
      <c r="M76" s="465"/>
      <c r="N76" s="386"/>
      <c r="O76" s="386"/>
      <c r="P76" s="386" t="s">
        <v>4</v>
      </c>
      <c r="Q76" s="386">
        <f>'Annexure -I'!E24</f>
        <v>23634</v>
      </c>
      <c r="R76" s="386"/>
      <c r="S76" s="386"/>
      <c r="T76" s="386"/>
      <c r="U76" s="386"/>
      <c r="V76" s="386"/>
      <c r="W76" s="386"/>
      <c r="X76" s="386"/>
      <c r="Y76" s="386">
        <f>IF(AA72=2,"","24")</f>
      </c>
      <c r="Z76" s="386">
        <v>4</v>
      </c>
      <c r="AA76" s="386"/>
      <c r="AB76" s="386">
        <f>IF(AA72=2,"","June,14")</f>
      </c>
      <c r="AC76" s="386">
        <v>30</v>
      </c>
      <c r="AD76" s="386"/>
      <c r="AE76" s="386"/>
      <c r="AF76" s="386"/>
      <c r="AG76" s="386"/>
      <c r="AH76" s="386"/>
      <c r="AI76" s="386"/>
      <c r="AJ76" s="386"/>
      <c r="AK76" s="386"/>
      <c r="AL76" s="386"/>
      <c r="AM76" s="386"/>
      <c r="AU76" s="386"/>
      <c r="AV76" s="386"/>
      <c r="AW76" s="386"/>
      <c r="AX76" s="386"/>
      <c r="AY76" s="386"/>
      <c r="AZ76" s="386"/>
      <c r="BA76" s="386"/>
      <c r="BB76" s="386"/>
      <c r="BC76" s="386"/>
      <c r="BD76" s="386"/>
      <c r="BE76" s="386"/>
      <c r="BF76" s="386"/>
      <c r="BG76" s="386"/>
      <c r="BH76" s="386"/>
      <c r="BI76" s="386"/>
      <c r="BJ76" s="386">
        <v>20</v>
      </c>
      <c r="BK76" s="386" t="s">
        <v>592</v>
      </c>
      <c r="BL76" s="386"/>
      <c r="BM76" s="386">
        <f>ROUND('Annexure -I'!C13/2,0.1)</f>
        <v>8300</v>
      </c>
      <c r="BN76" s="386">
        <f>ROUND('Annexure -I'!D13/2,0.1)</f>
        <v>6466</v>
      </c>
      <c r="BO76" s="386">
        <f>ROUND('Annexure -I'!E13/2,0.1)</f>
        <v>996</v>
      </c>
      <c r="BP76" s="386">
        <v>0</v>
      </c>
      <c r="BQ76" s="386">
        <f>ROUND('Annexure -I'!G13/2,0.1)</f>
        <v>0</v>
      </c>
      <c r="BR76" s="386">
        <f>ROUND('Annexure -I'!H13/2,0.1)</f>
        <v>0</v>
      </c>
      <c r="BS76" s="386">
        <v>0</v>
      </c>
      <c r="BT76" s="386">
        <f>ROUND('Annexure -I'!K13/2,0.1)</f>
        <v>0</v>
      </c>
      <c r="BU76" s="386">
        <v>0</v>
      </c>
      <c r="BV76" s="386">
        <f t="shared" si="4"/>
        <v>15762</v>
      </c>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row>
    <row r="77" spans="1:194" s="393" customFormat="1" ht="27.75" customHeight="1" hidden="1">
      <c r="A77" s="386"/>
      <c r="B77" s="465"/>
      <c r="C77" s="465"/>
      <c r="D77" s="465"/>
      <c r="E77" s="465"/>
      <c r="F77" s="465"/>
      <c r="G77" s="465"/>
      <c r="H77" s="465"/>
      <c r="I77" s="465"/>
      <c r="J77" s="465"/>
      <c r="K77" s="465"/>
      <c r="L77" s="465"/>
      <c r="M77" s="465"/>
      <c r="N77" s="386"/>
      <c r="O77" s="386"/>
      <c r="P77" s="386" t="s">
        <v>2</v>
      </c>
      <c r="Q77" s="426">
        <f>'Annexure -I'!C24</f>
        <v>196950</v>
      </c>
      <c r="R77" s="386"/>
      <c r="S77" s="386"/>
      <c r="T77" s="386"/>
      <c r="U77" s="386"/>
      <c r="V77" s="386"/>
      <c r="W77" s="386"/>
      <c r="X77" s="386"/>
      <c r="Y77" s="386">
        <f>IF(AA72=2,"","25")</f>
      </c>
      <c r="Z77" s="386">
        <v>5</v>
      </c>
      <c r="AA77" s="386"/>
      <c r="AB77" s="386">
        <f>IF(AA72=2,"","July,14")</f>
      </c>
      <c r="AC77" s="386">
        <v>31</v>
      </c>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v>21</v>
      </c>
      <c r="BK77" s="386" t="s">
        <v>593</v>
      </c>
      <c r="BL77" s="386"/>
      <c r="BM77" s="386">
        <f>'Annexure -I'!C13</f>
        <v>16600</v>
      </c>
      <c r="BN77" s="386">
        <f>'Annexure -I'!D13</f>
        <v>12931</v>
      </c>
      <c r="BO77" s="386">
        <f>'Annexure -I'!E13</f>
        <v>1992</v>
      </c>
      <c r="BP77" s="386">
        <v>0</v>
      </c>
      <c r="BQ77" s="386">
        <f>'Annexure -I'!G13</f>
        <v>0</v>
      </c>
      <c r="BR77" s="386">
        <f>'Annexure -I'!H13</f>
        <v>0</v>
      </c>
      <c r="BS77" s="386">
        <v>0</v>
      </c>
      <c r="BT77" s="386">
        <f>'Annexure -I'!K13</f>
        <v>0</v>
      </c>
      <c r="BU77" s="386">
        <v>0</v>
      </c>
      <c r="BV77" s="386">
        <f t="shared" si="4"/>
        <v>31523</v>
      </c>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row>
    <row r="78" spans="1:194" s="393" customFormat="1" ht="27.75" customHeight="1" hidden="1">
      <c r="A78" s="386"/>
      <c r="B78" s="465"/>
      <c r="C78" s="465"/>
      <c r="D78" s="465"/>
      <c r="E78" s="465"/>
      <c r="F78" s="465"/>
      <c r="G78" s="465"/>
      <c r="H78" s="465"/>
      <c r="I78" s="465"/>
      <c r="J78" s="465"/>
      <c r="K78" s="465"/>
      <c r="L78" s="465"/>
      <c r="M78" s="465"/>
      <c r="N78" s="386"/>
      <c r="O78" s="386"/>
      <c r="P78" s="386" t="s">
        <v>3</v>
      </c>
      <c r="Q78" s="427">
        <f>'Annexure -I'!D24</f>
        <v>152305</v>
      </c>
      <c r="R78" s="386"/>
      <c r="S78" s="386"/>
      <c r="T78" s="386"/>
      <c r="U78" s="386"/>
      <c r="V78" s="386"/>
      <c r="W78" s="386"/>
      <c r="X78" s="386"/>
      <c r="Y78" s="386">
        <f>IF(AA72=2,"","26")</f>
      </c>
      <c r="Z78" s="386">
        <v>6</v>
      </c>
      <c r="AA78" s="386"/>
      <c r="AB78" s="386">
        <f>IF(AA72=2,"","Aug,14")</f>
      </c>
      <c r="AC78" s="386">
        <v>31</v>
      </c>
      <c r="AD78" s="386"/>
      <c r="AE78" s="386"/>
      <c r="AF78" s="386"/>
      <c r="AG78" s="386"/>
      <c r="AH78" s="386"/>
      <c r="AI78" s="386"/>
      <c r="AJ78" s="386"/>
      <c r="AK78" s="425"/>
      <c r="AL78" s="425"/>
      <c r="AM78" s="425"/>
      <c r="AN78" s="425"/>
      <c r="AO78" s="425"/>
      <c r="AP78" s="425"/>
      <c r="AQ78" s="425"/>
      <c r="AR78" s="425"/>
      <c r="AS78" s="425"/>
      <c r="AT78" s="425"/>
      <c r="AU78" s="425"/>
      <c r="AV78" s="425"/>
      <c r="AW78" s="425"/>
      <c r="AX78" s="425"/>
      <c r="AY78" s="386"/>
      <c r="AZ78" s="386"/>
      <c r="BA78" s="386"/>
      <c r="BB78" s="386"/>
      <c r="BC78" s="386"/>
      <c r="BD78" s="386"/>
      <c r="BE78" s="386"/>
      <c r="BF78" s="386"/>
      <c r="BG78" s="386"/>
      <c r="BH78" s="386"/>
      <c r="BI78" s="386"/>
      <c r="BJ78" s="386">
        <v>22</v>
      </c>
      <c r="BK78" s="386" t="s">
        <v>594</v>
      </c>
      <c r="BL78" s="386"/>
      <c r="BM78" s="386">
        <f>ROUND('Annexure -I'!C14/2,0.1)</f>
        <v>8300</v>
      </c>
      <c r="BN78" s="386">
        <f>ROUND('Annexure -I'!D14/2,0.1)</f>
        <v>6466</v>
      </c>
      <c r="BO78" s="386">
        <f>ROUND('Annexure -I'!E14/2,0.1)</f>
        <v>996</v>
      </c>
      <c r="BP78" s="386">
        <v>0</v>
      </c>
      <c r="BQ78" s="386">
        <f>ROUND('Annexure -I'!G14/2,0.1)</f>
        <v>0</v>
      </c>
      <c r="BR78" s="386">
        <f>ROUND('Annexure -I'!H14/2,0.1)</f>
        <v>0</v>
      </c>
      <c r="BS78" s="386">
        <v>0</v>
      </c>
      <c r="BT78" s="386">
        <f>ROUND('Annexure -I'!K14/2,0.1)</f>
        <v>0</v>
      </c>
      <c r="BU78" s="386">
        <v>0</v>
      </c>
      <c r="BV78" s="386">
        <f t="shared" si="4"/>
        <v>15762</v>
      </c>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row>
    <row r="79" spans="1:194" s="393" customFormat="1" ht="27.75" customHeight="1" hidden="1">
      <c r="A79" s="386"/>
      <c r="B79" s="465"/>
      <c r="C79" s="465"/>
      <c r="D79" s="465"/>
      <c r="E79" s="465"/>
      <c r="F79" s="465"/>
      <c r="G79" s="465"/>
      <c r="H79" s="465"/>
      <c r="I79" s="465"/>
      <c r="J79" s="465"/>
      <c r="K79" s="465"/>
      <c r="L79" s="465"/>
      <c r="M79" s="465"/>
      <c r="N79" s="386"/>
      <c r="O79" s="386"/>
      <c r="P79" s="386" t="s">
        <v>173</v>
      </c>
      <c r="Q79" s="426">
        <f>SUM(Q77:Q78)</f>
        <v>349255</v>
      </c>
      <c r="R79" s="386"/>
      <c r="S79" s="386"/>
      <c r="T79" s="386"/>
      <c r="U79" s="386"/>
      <c r="V79" s="386"/>
      <c r="W79" s="386"/>
      <c r="X79" s="386"/>
      <c r="Y79" s="386">
        <f>IF(AA72=2,"","27")</f>
      </c>
      <c r="Z79" s="386">
        <v>7</v>
      </c>
      <c r="AA79" s="386"/>
      <c r="AB79" s="386">
        <f>IF(AA72=2,"","Sept,14")</f>
      </c>
      <c r="AC79" s="386">
        <v>30</v>
      </c>
      <c r="AD79" s="386"/>
      <c r="AE79" s="386"/>
      <c r="AF79" s="386"/>
      <c r="AG79" s="386"/>
      <c r="AH79" s="386"/>
      <c r="AI79" s="386"/>
      <c r="AJ79" s="386"/>
      <c r="AK79" s="425"/>
      <c r="AL79" s="425"/>
      <c r="AM79" s="425"/>
      <c r="AN79" s="425"/>
      <c r="AO79" s="425"/>
      <c r="AP79" s="425"/>
      <c r="AQ79" s="425"/>
      <c r="AR79" s="425"/>
      <c r="AS79" s="425"/>
      <c r="AT79" s="425"/>
      <c r="AU79" s="425"/>
      <c r="AV79" s="425"/>
      <c r="AW79" s="425"/>
      <c r="AX79" s="425"/>
      <c r="AY79" s="386"/>
      <c r="AZ79" s="386"/>
      <c r="BA79" s="386"/>
      <c r="BB79" s="386"/>
      <c r="BC79" s="386"/>
      <c r="BD79" s="386"/>
      <c r="BE79" s="386"/>
      <c r="BF79" s="386"/>
      <c r="BG79" s="386"/>
      <c r="BH79" s="386"/>
      <c r="BI79" s="386"/>
      <c r="BJ79" s="386">
        <v>23</v>
      </c>
      <c r="BK79" s="386" t="s">
        <v>595</v>
      </c>
      <c r="BL79" s="386"/>
      <c r="BM79" s="386">
        <f>'Annexure -I'!C14</f>
        <v>16600</v>
      </c>
      <c r="BN79" s="386">
        <f>'Annexure -I'!D14</f>
        <v>12931</v>
      </c>
      <c r="BO79" s="386">
        <f>'Annexure -I'!E14</f>
        <v>1992</v>
      </c>
      <c r="BP79" s="386">
        <v>0</v>
      </c>
      <c r="BQ79" s="386">
        <f>'Annexure -I'!G14</f>
        <v>0</v>
      </c>
      <c r="BR79" s="386">
        <f>'Annexure -I'!H14</f>
        <v>0</v>
      </c>
      <c r="BS79" s="386">
        <v>0</v>
      </c>
      <c r="BT79" s="386">
        <f>'Annexure -I'!K14</f>
        <v>0</v>
      </c>
      <c r="BU79" s="386">
        <v>0</v>
      </c>
      <c r="BV79" s="386">
        <f t="shared" si="4"/>
        <v>31523</v>
      </c>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row>
    <row r="80" spans="1:194" s="393" customFormat="1" ht="27.75" customHeight="1" hidden="1">
      <c r="A80" s="386"/>
      <c r="B80" s="465"/>
      <c r="C80" s="465"/>
      <c r="D80" s="465"/>
      <c r="E80" s="465"/>
      <c r="F80" s="465"/>
      <c r="G80" s="465"/>
      <c r="H80" s="465"/>
      <c r="I80" s="465"/>
      <c r="J80" s="465"/>
      <c r="K80" s="465"/>
      <c r="L80" s="465"/>
      <c r="M80" s="465"/>
      <c r="N80" s="386"/>
      <c r="O80" s="386"/>
      <c r="P80" s="386"/>
      <c r="Q80" s="428">
        <f>ROUND(Q79*10%,0.1)</f>
        <v>34926</v>
      </c>
      <c r="R80" s="386"/>
      <c r="S80" s="386"/>
      <c r="T80" s="386"/>
      <c r="U80" s="386"/>
      <c r="V80" s="386"/>
      <c r="W80" s="386"/>
      <c r="X80" s="386"/>
      <c r="Y80" s="386">
        <f>IF(AA72=2,"","28")</f>
      </c>
      <c r="Z80" s="386">
        <v>8</v>
      </c>
      <c r="AA80" s="386"/>
      <c r="AB80" s="386">
        <f>IF(AA72=2,"","Oct,14")</f>
      </c>
      <c r="AC80" s="386">
        <v>31</v>
      </c>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v>24</v>
      </c>
      <c r="BK80" s="386" t="s">
        <v>596</v>
      </c>
      <c r="BL80" s="386"/>
      <c r="BM80" s="386">
        <f>ROUND('Annexure -I'!C15/2,0.1)</f>
        <v>8300</v>
      </c>
      <c r="BN80" s="386">
        <f>ROUND('Annexure -I'!D15/2,0.1)</f>
        <v>6466</v>
      </c>
      <c r="BO80" s="386">
        <f>ROUND('Annexure -I'!E15/2,0.1)</f>
        <v>996</v>
      </c>
      <c r="BP80" s="386">
        <v>0</v>
      </c>
      <c r="BQ80" s="386">
        <f>ROUND('Annexure -I'!G15/2,0.1)</f>
        <v>0</v>
      </c>
      <c r="BR80" s="386">
        <f>ROUND('Annexure -I'!H15/2,0.1)</f>
        <v>0</v>
      </c>
      <c r="BS80" s="386">
        <v>0</v>
      </c>
      <c r="BT80" s="386">
        <f>ROUND('Annexure -I'!K15/2,0.1)</f>
        <v>0</v>
      </c>
      <c r="BU80" s="386">
        <v>0</v>
      </c>
      <c r="BV80" s="386">
        <f t="shared" si="4"/>
        <v>15762</v>
      </c>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row>
    <row r="81" spans="1:194" s="393" customFormat="1" ht="27.75" customHeight="1" hidden="1">
      <c r="A81" s="386"/>
      <c r="B81" s="465"/>
      <c r="C81" s="465"/>
      <c r="D81" s="465"/>
      <c r="E81" s="465"/>
      <c r="F81" s="465"/>
      <c r="G81" s="465"/>
      <c r="H81" s="465"/>
      <c r="I81" s="465"/>
      <c r="J81" s="465"/>
      <c r="K81" s="465"/>
      <c r="L81" s="465"/>
      <c r="M81" s="465"/>
      <c r="N81" s="386"/>
      <c r="O81" s="386"/>
      <c r="P81" s="386"/>
      <c r="Q81" s="386"/>
      <c r="R81" s="386"/>
      <c r="S81" s="386"/>
      <c r="T81" s="386"/>
      <c r="U81" s="386"/>
      <c r="V81" s="386"/>
      <c r="W81" s="386"/>
      <c r="X81" s="386"/>
      <c r="Y81" s="386">
        <f>IF(AA72=2,"","29")</f>
      </c>
      <c r="Z81" s="386">
        <v>9</v>
      </c>
      <c r="AA81" s="386"/>
      <c r="AB81" s="386">
        <f>IF(AA72=2,"","Nov,14")</f>
      </c>
      <c r="AC81" s="386">
        <v>30</v>
      </c>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v>25</v>
      </c>
      <c r="BK81" s="386" t="s">
        <v>597</v>
      </c>
      <c r="BL81" s="386"/>
      <c r="BM81" s="386">
        <f>'Annexure -I'!C15</f>
        <v>16600</v>
      </c>
      <c r="BN81" s="386">
        <f>'Annexure -I'!D15</f>
        <v>12931</v>
      </c>
      <c r="BO81" s="386">
        <f>'Annexure -I'!E15</f>
        <v>1992</v>
      </c>
      <c r="BP81" s="386">
        <v>0</v>
      </c>
      <c r="BQ81" s="386">
        <f>'Annexure -I'!G15</f>
        <v>0</v>
      </c>
      <c r="BR81" s="386">
        <f>'Annexure -I'!H15</f>
        <v>0</v>
      </c>
      <c r="BS81" s="386">
        <v>0</v>
      </c>
      <c r="BT81" s="386">
        <f>'Annexure -I'!K15</f>
        <v>0</v>
      </c>
      <c r="BU81" s="386">
        <v>0</v>
      </c>
      <c r="BV81" s="386">
        <f t="shared" si="4"/>
        <v>31523</v>
      </c>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row>
    <row r="82" spans="1:194" s="393" customFormat="1" ht="27.75" customHeight="1" hidden="1" thickBot="1">
      <c r="A82" s="386"/>
      <c r="B82" s="465"/>
      <c r="C82" s="465"/>
      <c r="D82" s="465"/>
      <c r="E82" s="465"/>
      <c r="F82" s="465"/>
      <c r="G82" s="465"/>
      <c r="H82" s="465"/>
      <c r="I82" s="465"/>
      <c r="J82" s="465"/>
      <c r="K82" s="465"/>
      <c r="L82" s="465"/>
      <c r="M82" s="465"/>
      <c r="N82" s="386"/>
      <c r="O82" s="386"/>
      <c r="P82" s="386">
        <f>ROUND((Q76+Q80)/12,-2)+100</f>
        <v>5000</v>
      </c>
      <c r="Q82" s="386">
        <f>IF(ROUND(Q83*12-Q80,0.1)&gt;0,ROUND(Q83*12-Q80,0.1),0)</f>
        <v>25074</v>
      </c>
      <c r="R82" s="386"/>
      <c r="S82" s="386"/>
      <c r="T82" s="386"/>
      <c r="U82" s="386"/>
      <c r="V82" s="386"/>
      <c r="W82" s="386"/>
      <c r="X82" s="386"/>
      <c r="Y82" s="386">
        <f>IF(AA72=2,"","30")</f>
      </c>
      <c r="Z82" s="386">
        <v>10</v>
      </c>
      <c r="AA82" s="386"/>
      <c r="AB82" s="386">
        <f>IF(AA72=2,"","Dec,14")</f>
      </c>
      <c r="AC82" s="386">
        <v>31</v>
      </c>
      <c r="AD82" s="386"/>
      <c r="AE82" s="386"/>
      <c r="AF82" s="386"/>
      <c r="AG82" s="386"/>
      <c r="AH82" s="386"/>
      <c r="AI82" s="386"/>
      <c r="AJ82" s="386"/>
      <c r="AK82" s="386" t="s">
        <v>187</v>
      </c>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f t="shared" si="4"/>
        <v>0</v>
      </c>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row>
    <row r="83" spans="1:194" s="393" customFormat="1" ht="27.75" customHeight="1" hidden="1">
      <c r="A83" s="386"/>
      <c r="B83" s="465"/>
      <c r="C83" s="465"/>
      <c r="D83" s="465"/>
      <c r="E83" s="465"/>
      <c r="F83" s="465"/>
      <c r="G83" s="465"/>
      <c r="H83" s="465"/>
      <c r="I83" s="465"/>
      <c r="J83" s="465"/>
      <c r="K83" s="465"/>
      <c r="L83" s="465"/>
      <c r="M83" s="465"/>
      <c r="N83" s="386"/>
      <c r="O83" s="429" t="s">
        <v>232</v>
      </c>
      <c r="P83" s="429" t="s">
        <v>269</v>
      </c>
      <c r="Q83" s="430">
        <f>P17</f>
        <v>5000</v>
      </c>
      <c r="R83" s="430" t="s">
        <v>270</v>
      </c>
      <c r="S83" s="386"/>
      <c r="T83" s="386"/>
      <c r="U83" s="431">
        <v>2</v>
      </c>
      <c r="V83" s="403" t="s">
        <v>151</v>
      </c>
      <c r="W83" s="386"/>
      <c r="X83" s="386"/>
      <c r="Y83" s="386">
        <f>IF(AA72=2,"","31")</f>
      </c>
      <c r="Z83" s="386">
        <v>11</v>
      </c>
      <c r="AA83" s="386"/>
      <c r="AB83" s="386">
        <f>IF(AA72=2,"","Jan,15")</f>
      </c>
      <c r="AC83" s="386">
        <v>31</v>
      </c>
      <c r="AD83" s="386"/>
      <c r="AE83" s="386"/>
      <c r="AF83" s="386"/>
      <c r="AG83" s="386"/>
      <c r="AH83" s="386"/>
      <c r="AI83" s="386"/>
      <c r="AJ83" s="386"/>
      <c r="AK83" s="386"/>
      <c r="AL83" s="386"/>
      <c r="AM83" s="386" t="s">
        <v>189</v>
      </c>
      <c r="AN83" s="386" t="s">
        <v>191</v>
      </c>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f>VLOOKUP(BJ55,BJ57:BR81,4,0)</f>
        <v>0</v>
      </c>
      <c r="BN83" s="386">
        <f>VLOOKUP(BJ55,BJ57:BR81,5,0)</f>
        <v>0</v>
      </c>
      <c r="BO83" s="386">
        <f>VLOOKUP(BJ55,BJ57:BT81,6,0)</f>
        <v>0</v>
      </c>
      <c r="BP83" s="386">
        <v>0</v>
      </c>
      <c r="BQ83" s="386">
        <f>VLOOKUP(BJ55,BJ57:BR81,8,0)</f>
        <v>0</v>
      </c>
      <c r="BR83" s="386">
        <f>VLOOKUP(BJ55,BJ57:BT81,9,0)</f>
        <v>0</v>
      </c>
      <c r="BS83" s="386">
        <v>0</v>
      </c>
      <c r="BT83" s="386">
        <f>VLOOKUP(BJ55,BJ57:BT81,11,0)</f>
        <v>0</v>
      </c>
      <c r="BU83" s="386">
        <v>0</v>
      </c>
      <c r="BV83" s="386">
        <f t="shared" si="4"/>
        <v>0</v>
      </c>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row>
    <row r="84" spans="1:194" s="393" customFormat="1" ht="27.75" customHeight="1" hidden="1" thickBot="1">
      <c r="A84" s="386"/>
      <c r="B84" s="465"/>
      <c r="C84" s="465"/>
      <c r="D84" s="465"/>
      <c r="E84" s="465"/>
      <c r="F84" s="465"/>
      <c r="G84" s="465"/>
      <c r="H84" s="465"/>
      <c r="I84" s="465"/>
      <c r="J84" s="465"/>
      <c r="K84" s="465"/>
      <c r="L84" s="465"/>
      <c r="M84" s="465"/>
      <c r="N84" s="386"/>
      <c r="O84" s="386" t="str">
        <f>CONCATENATE(O83,P83,Q83,R83)</f>
        <v>Rent paid in excess of 10% Salary(Rent: @ 5000/-PM)</v>
      </c>
      <c r="P84" s="386"/>
      <c r="Q84" s="386"/>
      <c r="R84" s="386"/>
      <c r="S84" s="386"/>
      <c r="T84" s="386"/>
      <c r="U84" s="406" t="str">
        <f>VLOOKUP(U83,AA53:AB54,2,0)</f>
        <v>No</v>
      </c>
      <c r="V84" s="416"/>
      <c r="W84" s="386"/>
      <c r="X84" s="386"/>
      <c r="Y84" s="386"/>
      <c r="Z84" s="386">
        <v>12</v>
      </c>
      <c r="AA84" s="386"/>
      <c r="AB84" s="386">
        <f>IF(AA72=2,"","Feb,15")</f>
      </c>
      <c r="AC84" s="386">
        <v>28</v>
      </c>
      <c r="AD84" s="386"/>
      <c r="AE84" s="386"/>
      <c r="AF84" s="386"/>
      <c r="AG84" s="386"/>
      <c r="AH84" s="386"/>
      <c r="AI84" s="386"/>
      <c r="AJ84" s="386"/>
      <c r="AK84" s="385" t="s">
        <v>534</v>
      </c>
      <c r="AL84" s="386">
        <f>AB171</f>
        <v>16150</v>
      </c>
      <c r="AM84" s="386">
        <f>ROUND(AL84*71.904/100,0.1)</f>
        <v>11612</v>
      </c>
      <c r="AN84" s="386">
        <f>ROUND(AL84*63.344/100,0.1)</f>
        <v>10230</v>
      </c>
      <c r="AO84" s="386">
        <f aca="true" t="shared" si="5" ref="AO84:AO92">AM84-AN84</f>
        <v>1382</v>
      </c>
      <c r="AP84" s="386"/>
      <c r="AQ84" s="386">
        <f>ROUND(AM84*10%,0.1)</f>
        <v>1161</v>
      </c>
      <c r="AR84" s="386">
        <f aca="true" t="shared" si="6" ref="AR84:AR92">ROUND(AN84*10%,0.1)</f>
        <v>1023</v>
      </c>
      <c r="AS84" s="386">
        <f>AQ84-AR84</f>
        <v>138</v>
      </c>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row>
    <row r="85" spans="1:194" s="393" customFormat="1" ht="27.75" customHeight="1" hidden="1" thickBot="1">
      <c r="A85" s="386"/>
      <c r="B85" s="465"/>
      <c r="C85" s="465"/>
      <c r="D85" s="465"/>
      <c r="E85" s="465"/>
      <c r="F85" s="465"/>
      <c r="G85" s="465"/>
      <c r="H85" s="465"/>
      <c r="I85" s="465"/>
      <c r="J85" s="465"/>
      <c r="K85" s="465"/>
      <c r="L85" s="465"/>
      <c r="M85" s="465"/>
      <c r="N85" s="386"/>
      <c r="O85" s="386"/>
      <c r="P85" s="386"/>
      <c r="Q85" s="386"/>
      <c r="R85" s="386"/>
      <c r="S85" s="386"/>
      <c r="T85" s="386"/>
      <c r="U85" s="401" t="s">
        <v>151</v>
      </c>
      <c r="V85" s="402"/>
      <c r="W85" s="402">
        <v>19</v>
      </c>
      <c r="X85" s="403"/>
      <c r="Y85" s="386"/>
      <c r="Z85" s="386"/>
      <c r="AA85" s="386"/>
      <c r="AB85" s="386"/>
      <c r="AC85" s="386"/>
      <c r="AD85" s="432">
        <v>3850</v>
      </c>
      <c r="AE85" s="386"/>
      <c r="AF85" s="402"/>
      <c r="AG85" s="388"/>
      <c r="AH85" s="386"/>
      <c r="AI85" s="386"/>
      <c r="AJ85" s="386"/>
      <c r="AK85" s="385" t="s">
        <v>535</v>
      </c>
      <c r="AL85" s="386">
        <f>AB171</f>
        <v>16150</v>
      </c>
      <c r="AM85" s="386">
        <f aca="true" t="shared" si="7" ref="AM85:AM92">ROUND(AL85*71.904/100,0.1)</f>
        <v>11612</v>
      </c>
      <c r="AN85" s="386">
        <f aca="true" t="shared" si="8" ref="AN85:AN92">ROUND(AL85*63.344/100,0.1)</f>
        <v>10230</v>
      </c>
      <c r="AO85" s="386">
        <f t="shared" si="5"/>
        <v>1382</v>
      </c>
      <c r="AP85" s="386"/>
      <c r="AQ85" s="386">
        <f aca="true" t="shared" si="9" ref="AQ85:AQ92">ROUND(AM85*10%,0.1)</f>
        <v>1161</v>
      </c>
      <c r="AR85" s="386">
        <f t="shared" si="6"/>
        <v>1023</v>
      </c>
      <c r="AS85" s="386">
        <f aca="true" t="shared" si="10" ref="AS85:AS92">AQ85-AR85</f>
        <v>138</v>
      </c>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row>
    <row r="86" spans="1:194" s="393" customFormat="1" ht="27.75" customHeight="1" hidden="1">
      <c r="A86" s="386"/>
      <c r="B86" s="465"/>
      <c r="C86" s="465"/>
      <c r="D86" s="465"/>
      <c r="E86" s="465"/>
      <c r="F86" s="465"/>
      <c r="G86" s="465"/>
      <c r="H86" s="465"/>
      <c r="I86" s="465"/>
      <c r="J86" s="465"/>
      <c r="K86" s="465"/>
      <c r="L86" s="465"/>
      <c r="M86" s="465"/>
      <c r="N86" s="386" t="str">
        <f>IF(AA21=1,N89,N93)</f>
        <v>Up to Rs. 2,50,000</v>
      </c>
      <c r="O86" s="386"/>
      <c r="P86" s="386"/>
      <c r="Q86" s="386"/>
      <c r="R86" s="386"/>
      <c r="S86" s="386"/>
      <c r="T86" s="386"/>
      <c r="U86" s="404"/>
      <c r="V86" s="388"/>
      <c r="W86" s="388">
        <v>1</v>
      </c>
      <c r="X86" s="405"/>
      <c r="Y86" s="386"/>
      <c r="Z86" s="386"/>
      <c r="AA86" s="401">
        <v>1</v>
      </c>
      <c r="AB86" s="402">
        <v>6700</v>
      </c>
      <c r="AC86" s="432">
        <v>3850</v>
      </c>
      <c r="AD86" s="433">
        <v>3950</v>
      </c>
      <c r="AE86" s="402">
        <v>6700</v>
      </c>
      <c r="AF86" s="388">
        <v>6900</v>
      </c>
      <c r="AG86" s="388">
        <v>7100</v>
      </c>
      <c r="AH86" s="386"/>
      <c r="AI86" s="386"/>
      <c r="AJ86" s="386"/>
      <c r="AK86" s="385" t="str">
        <f>IF(AJ85=4,"","March,14")</f>
        <v>March,14</v>
      </c>
      <c r="AL86" s="386">
        <f>'Annexure -I'!C4</f>
        <v>16150</v>
      </c>
      <c r="AM86" s="386">
        <f t="shared" si="7"/>
        <v>11612</v>
      </c>
      <c r="AN86" s="386">
        <f t="shared" si="8"/>
        <v>10230</v>
      </c>
      <c r="AO86" s="386">
        <f t="shared" si="5"/>
        <v>1382</v>
      </c>
      <c r="AP86" s="386"/>
      <c r="AQ86" s="386">
        <f t="shared" si="9"/>
        <v>1161</v>
      </c>
      <c r="AR86" s="386">
        <f t="shared" si="6"/>
        <v>1023</v>
      </c>
      <c r="AS86" s="386">
        <f t="shared" si="10"/>
        <v>138</v>
      </c>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row>
    <row r="87" spans="1:194" s="393" customFormat="1" ht="27.75" customHeight="1" hidden="1" thickBot="1">
      <c r="A87" s="386"/>
      <c r="B87" s="465"/>
      <c r="C87" s="465"/>
      <c r="D87" s="465"/>
      <c r="E87" s="465"/>
      <c r="F87" s="465"/>
      <c r="G87" s="465"/>
      <c r="H87" s="465"/>
      <c r="I87" s="465"/>
      <c r="J87" s="465"/>
      <c r="K87" s="465"/>
      <c r="L87" s="465"/>
      <c r="M87" s="465"/>
      <c r="N87" s="386" t="str">
        <f>IF(AA21=1,N90,N94)</f>
        <v>Rs.2,50,001 To 5,00,000.    (@ 10%)</v>
      </c>
      <c r="O87" s="386"/>
      <c r="P87" s="386"/>
      <c r="Q87" s="386"/>
      <c r="R87" s="386"/>
      <c r="S87" s="386"/>
      <c r="T87" s="386"/>
      <c r="U87" s="406"/>
      <c r="V87" s="407"/>
      <c r="W87" s="407" t="str">
        <f>VLOOKUP(W86+1,AA58:AB69,2,0)</f>
        <v>March,14</v>
      </c>
      <c r="X87" s="416"/>
      <c r="Y87" s="386"/>
      <c r="Z87" s="386"/>
      <c r="AA87" s="404">
        <v>2</v>
      </c>
      <c r="AB87" s="388">
        <v>6900</v>
      </c>
      <c r="AC87" s="433">
        <v>3950</v>
      </c>
      <c r="AD87" s="433">
        <v>4050</v>
      </c>
      <c r="AE87" s="388">
        <v>6900</v>
      </c>
      <c r="AF87" s="388">
        <v>7100</v>
      </c>
      <c r="AG87" s="388">
        <v>7300</v>
      </c>
      <c r="AH87" s="386"/>
      <c r="AI87" s="386"/>
      <c r="AJ87" s="386"/>
      <c r="AK87" s="385" t="str">
        <f>IF(AJ85=4,"","April,14")</f>
        <v>April,14</v>
      </c>
      <c r="AL87" s="386">
        <f>'Annexure -I'!C5</f>
        <v>16150</v>
      </c>
      <c r="AM87" s="386">
        <f>ROUND(AL87*71.904/100,0.1)</f>
        <v>11612</v>
      </c>
      <c r="AN87" s="386">
        <f t="shared" si="8"/>
        <v>10230</v>
      </c>
      <c r="AO87" s="386">
        <f t="shared" si="5"/>
        <v>1382</v>
      </c>
      <c r="AP87" s="386"/>
      <c r="AQ87" s="386">
        <f t="shared" si="9"/>
        <v>1161</v>
      </c>
      <c r="AR87" s="386">
        <f t="shared" si="6"/>
        <v>1023</v>
      </c>
      <c r="AS87" s="386">
        <f t="shared" si="10"/>
        <v>138</v>
      </c>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row>
    <row r="88" spans="1:194" s="393" customFormat="1" ht="27.75" customHeight="1" hidden="1">
      <c r="A88" s="386"/>
      <c r="B88" s="465"/>
      <c r="C88" s="465"/>
      <c r="D88" s="465"/>
      <c r="E88" s="465"/>
      <c r="F88" s="465"/>
      <c r="G88" s="465"/>
      <c r="H88" s="465"/>
      <c r="I88" s="465"/>
      <c r="J88" s="465"/>
      <c r="K88" s="465"/>
      <c r="L88" s="465"/>
      <c r="M88" s="465"/>
      <c r="N88" s="386"/>
      <c r="O88" s="386"/>
      <c r="P88" s="386"/>
      <c r="Q88" s="386"/>
      <c r="R88" s="386"/>
      <c r="S88" s="386"/>
      <c r="T88" s="386"/>
      <c r="U88" s="386"/>
      <c r="V88" s="386"/>
      <c r="W88" s="386"/>
      <c r="X88" s="386"/>
      <c r="Y88" s="386"/>
      <c r="Z88" s="386"/>
      <c r="AA88" s="404">
        <v>3</v>
      </c>
      <c r="AB88" s="388">
        <v>7100</v>
      </c>
      <c r="AC88" s="433">
        <v>4050</v>
      </c>
      <c r="AD88" s="433">
        <v>4150</v>
      </c>
      <c r="AE88" s="388">
        <v>7100</v>
      </c>
      <c r="AF88" s="388">
        <v>7300</v>
      </c>
      <c r="AG88" s="388">
        <v>7520</v>
      </c>
      <c r="AH88" s="386"/>
      <c r="AI88" s="386"/>
      <c r="AJ88" s="386"/>
      <c r="AK88" s="385" t="str">
        <f>IF(AJ85=4,"","May,14")</f>
        <v>May,14</v>
      </c>
      <c r="AL88" s="386">
        <v>0</v>
      </c>
      <c r="AM88" s="386">
        <v>0</v>
      </c>
      <c r="AN88" s="386">
        <v>0</v>
      </c>
      <c r="AO88" s="386">
        <f t="shared" si="5"/>
        <v>0</v>
      </c>
      <c r="AP88" s="386"/>
      <c r="AQ88" s="386">
        <f t="shared" si="9"/>
        <v>0</v>
      </c>
      <c r="AR88" s="386">
        <f t="shared" si="6"/>
        <v>0</v>
      </c>
      <c r="AS88" s="386">
        <f t="shared" si="10"/>
        <v>0</v>
      </c>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row>
    <row r="89" spans="1:194" s="393" customFormat="1" ht="27.75" customHeight="1" hidden="1">
      <c r="A89" s="386"/>
      <c r="B89" s="465"/>
      <c r="C89" s="465"/>
      <c r="D89" s="465"/>
      <c r="E89" s="465"/>
      <c r="F89" s="465"/>
      <c r="G89" s="465"/>
      <c r="H89" s="465"/>
      <c r="I89" s="465"/>
      <c r="J89" s="465"/>
      <c r="K89" s="465"/>
      <c r="L89" s="465"/>
      <c r="M89" s="465"/>
      <c r="N89" s="429" t="s">
        <v>564</v>
      </c>
      <c r="O89" s="386"/>
      <c r="P89" s="386"/>
      <c r="Q89" s="386"/>
      <c r="R89" s="386"/>
      <c r="S89" s="386"/>
      <c r="T89" s="386"/>
      <c r="U89" s="386">
        <v>1</v>
      </c>
      <c r="V89" s="386">
        <f>IF(U83=2,"","March,14")</f>
      </c>
      <c r="W89" s="386"/>
      <c r="X89" s="386">
        <f>IF(U83=2,"","1")</f>
      </c>
      <c r="Y89" s="386">
        <f>IF($AA$52=2,"","1")</f>
      </c>
      <c r="Z89" s="386"/>
      <c r="AA89" s="404">
        <v>4</v>
      </c>
      <c r="AB89" s="388">
        <v>7300</v>
      </c>
      <c r="AC89" s="433">
        <v>4150</v>
      </c>
      <c r="AD89" s="433">
        <v>4260</v>
      </c>
      <c r="AE89" s="388">
        <v>7300</v>
      </c>
      <c r="AF89" s="388">
        <v>7520</v>
      </c>
      <c r="AG89" s="388">
        <v>7740</v>
      </c>
      <c r="AH89" s="386"/>
      <c r="AI89" s="386"/>
      <c r="AJ89" s="386"/>
      <c r="AK89" s="385" t="str">
        <f>IF(AJ85=4,"","June,14")</f>
        <v>June,14</v>
      </c>
      <c r="AL89" s="386">
        <v>0</v>
      </c>
      <c r="AM89" s="386">
        <v>0</v>
      </c>
      <c r="AN89" s="386">
        <v>0</v>
      </c>
      <c r="AO89" s="386">
        <f t="shared" si="5"/>
        <v>0</v>
      </c>
      <c r="AP89" s="386">
        <f>SUM(AO84:AO92)</f>
        <v>5528</v>
      </c>
      <c r="AQ89" s="386">
        <f t="shared" si="9"/>
        <v>0</v>
      </c>
      <c r="AR89" s="386">
        <f t="shared" si="6"/>
        <v>0</v>
      </c>
      <c r="AS89" s="386">
        <f t="shared" si="10"/>
        <v>0</v>
      </c>
      <c r="AT89" s="386">
        <f>SUM(AS84:AS92)</f>
        <v>552</v>
      </c>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row>
    <row r="90" spans="1:194" s="393" customFormat="1" ht="27.75" customHeight="1" hidden="1">
      <c r="A90" s="386"/>
      <c r="B90" s="465"/>
      <c r="C90" s="465"/>
      <c r="D90" s="465"/>
      <c r="E90" s="465"/>
      <c r="F90" s="465"/>
      <c r="G90" s="465"/>
      <c r="H90" s="465"/>
      <c r="I90" s="465"/>
      <c r="J90" s="465"/>
      <c r="K90" s="465"/>
      <c r="L90" s="465"/>
      <c r="M90" s="465"/>
      <c r="N90" s="429" t="s">
        <v>565</v>
      </c>
      <c r="O90" s="386"/>
      <c r="P90" s="386"/>
      <c r="Q90" s="386"/>
      <c r="R90" s="386"/>
      <c r="S90" s="386"/>
      <c r="T90" s="386"/>
      <c r="U90" s="386">
        <v>2</v>
      </c>
      <c r="V90" s="386">
        <f>IF(U83=2,"","April,14")</f>
      </c>
      <c r="W90" s="386"/>
      <c r="X90" s="386">
        <f>IF(U83=2,"","2")</f>
      </c>
      <c r="Y90" s="386">
        <f>IF($AA$52=2,"","2")</f>
      </c>
      <c r="Z90" s="386"/>
      <c r="AA90" s="404">
        <v>5</v>
      </c>
      <c r="AB90" s="388">
        <v>7520</v>
      </c>
      <c r="AC90" s="433">
        <v>4260</v>
      </c>
      <c r="AD90" s="433">
        <v>4370</v>
      </c>
      <c r="AE90" s="388">
        <v>7520</v>
      </c>
      <c r="AF90" s="388">
        <v>7740</v>
      </c>
      <c r="AG90" s="388">
        <v>7960</v>
      </c>
      <c r="AH90" s="386"/>
      <c r="AI90" s="386"/>
      <c r="AJ90" s="386"/>
      <c r="AK90" s="385" t="s">
        <v>493</v>
      </c>
      <c r="AL90" s="386">
        <f>IF(AND(AA52=1,O99&lt;3),F112,0)</f>
        <v>0</v>
      </c>
      <c r="AM90" s="386">
        <f t="shared" si="7"/>
        <v>0</v>
      </c>
      <c r="AN90" s="386">
        <f t="shared" si="8"/>
        <v>0</v>
      </c>
      <c r="AO90" s="386">
        <f>AM90-AN90</f>
        <v>0</v>
      </c>
      <c r="AP90" s="386"/>
      <c r="AQ90" s="386">
        <f t="shared" si="9"/>
        <v>0</v>
      </c>
      <c r="AR90" s="386">
        <f t="shared" si="6"/>
        <v>0</v>
      </c>
      <c r="AS90" s="386">
        <f t="shared" si="10"/>
        <v>0</v>
      </c>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row>
    <row r="91" spans="1:194" s="393" customFormat="1" ht="27.75" customHeight="1" hidden="1">
      <c r="A91" s="386"/>
      <c r="B91" s="465"/>
      <c r="C91" s="465"/>
      <c r="D91" s="465"/>
      <c r="E91" s="465"/>
      <c r="F91" s="465"/>
      <c r="G91" s="465"/>
      <c r="H91" s="465"/>
      <c r="I91" s="465"/>
      <c r="J91" s="465"/>
      <c r="K91" s="465"/>
      <c r="L91" s="465"/>
      <c r="M91" s="465"/>
      <c r="N91" s="386"/>
      <c r="O91" s="386"/>
      <c r="P91" s="386"/>
      <c r="Q91" s="386"/>
      <c r="R91" s="386"/>
      <c r="S91" s="386"/>
      <c r="T91" s="386"/>
      <c r="U91" s="386">
        <v>3</v>
      </c>
      <c r="V91" s="386">
        <f>IF(U83=2,"","May,14")</f>
      </c>
      <c r="W91" s="386"/>
      <c r="X91" s="386">
        <f>IF(U83=2,"","3")</f>
      </c>
      <c r="Y91" s="386">
        <f>IF($AA$52=2,"","3")</f>
      </c>
      <c r="Z91" s="386"/>
      <c r="AA91" s="404">
        <v>6</v>
      </c>
      <c r="AB91" s="388">
        <v>7740</v>
      </c>
      <c r="AC91" s="433">
        <v>4370</v>
      </c>
      <c r="AD91" s="433">
        <v>4480</v>
      </c>
      <c r="AE91" s="388">
        <v>7740</v>
      </c>
      <c r="AF91" s="388">
        <v>7960</v>
      </c>
      <c r="AG91" s="388">
        <v>8200</v>
      </c>
      <c r="AH91" s="386"/>
      <c r="AI91" s="386"/>
      <c r="AJ91" s="386"/>
      <c r="AK91" s="385" t="s">
        <v>494</v>
      </c>
      <c r="AL91" s="386">
        <f>IF(AND(U83=1,L114&lt;3),F120,0)</f>
        <v>0</v>
      </c>
      <c r="AM91" s="386">
        <f t="shared" si="7"/>
        <v>0</v>
      </c>
      <c r="AN91" s="386">
        <f t="shared" si="8"/>
        <v>0</v>
      </c>
      <c r="AO91" s="386">
        <f t="shared" si="5"/>
        <v>0</v>
      </c>
      <c r="AP91" s="386"/>
      <c r="AQ91" s="386">
        <f t="shared" si="9"/>
        <v>0</v>
      </c>
      <c r="AR91" s="386">
        <f t="shared" si="6"/>
        <v>0</v>
      </c>
      <c r="AS91" s="386">
        <f t="shared" si="10"/>
        <v>0</v>
      </c>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row>
    <row r="92" spans="1:194" s="393" customFormat="1" ht="27.75" customHeight="1" hidden="1">
      <c r="A92" s="386"/>
      <c r="B92" s="465"/>
      <c r="C92" s="465"/>
      <c r="D92" s="465"/>
      <c r="E92" s="465"/>
      <c r="F92" s="465"/>
      <c r="G92" s="465"/>
      <c r="H92" s="465"/>
      <c r="I92" s="465"/>
      <c r="J92" s="465"/>
      <c r="K92" s="465"/>
      <c r="L92" s="465"/>
      <c r="M92" s="465"/>
      <c r="N92" s="386"/>
      <c r="O92" s="386"/>
      <c r="P92" s="386"/>
      <c r="Q92" s="386"/>
      <c r="R92" s="386"/>
      <c r="S92" s="386"/>
      <c r="T92" s="386"/>
      <c r="U92" s="386">
        <v>4</v>
      </c>
      <c r="V92" s="386">
        <f>IF(U83=2,"","June,14")</f>
      </c>
      <c r="W92" s="386"/>
      <c r="X92" s="386">
        <f>IF(U83=2,"","4")</f>
      </c>
      <c r="Y92" s="386">
        <f>IF($AA$52=2,"","4")</f>
      </c>
      <c r="Z92" s="386"/>
      <c r="AA92" s="404">
        <v>7</v>
      </c>
      <c r="AB92" s="388">
        <v>7960</v>
      </c>
      <c r="AC92" s="433">
        <v>4480</v>
      </c>
      <c r="AD92" s="433">
        <v>4595</v>
      </c>
      <c r="AE92" s="388">
        <v>7960</v>
      </c>
      <c r="AF92" s="388">
        <v>8200</v>
      </c>
      <c r="AG92" s="388">
        <v>8440</v>
      </c>
      <c r="AH92" s="386"/>
      <c r="AI92" s="386"/>
      <c r="AJ92" s="386"/>
      <c r="AK92" s="385" t="s">
        <v>188</v>
      </c>
      <c r="AL92" s="386">
        <f>IF(BJ55&lt;6,BM83,0)</f>
        <v>0</v>
      </c>
      <c r="AM92" s="386">
        <f t="shared" si="7"/>
        <v>0</v>
      </c>
      <c r="AN92" s="386">
        <f t="shared" si="8"/>
        <v>0</v>
      </c>
      <c r="AO92" s="386">
        <f t="shared" si="5"/>
        <v>0</v>
      </c>
      <c r="AP92" s="386"/>
      <c r="AQ92" s="386">
        <f t="shared" si="9"/>
        <v>0</v>
      </c>
      <c r="AR92" s="386">
        <f t="shared" si="6"/>
        <v>0</v>
      </c>
      <c r="AS92" s="386">
        <f t="shared" si="10"/>
        <v>0</v>
      </c>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row>
    <row r="93" spans="1:194" s="393" customFormat="1" ht="27.75" customHeight="1" hidden="1">
      <c r="A93" s="386"/>
      <c r="B93" s="465"/>
      <c r="C93" s="465"/>
      <c r="D93" s="465"/>
      <c r="E93" s="465"/>
      <c r="F93" s="465"/>
      <c r="G93" s="465"/>
      <c r="H93" s="465"/>
      <c r="I93" s="465"/>
      <c r="J93" s="465"/>
      <c r="K93" s="465"/>
      <c r="L93" s="465"/>
      <c r="M93" s="465"/>
      <c r="N93" s="429" t="s">
        <v>564</v>
      </c>
      <c r="O93" s="386"/>
      <c r="P93" s="386"/>
      <c r="Q93" s="386"/>
      <c r="R93" s="386"/>
      <c r="S93" s="386"/>
      <c r="T93" s="386"/>
      <c r="U93" s="386">
        <v>5</v>
      </c>
      <c r="V93" s="386">
        <f>IF(U83=2,"","July,14")</f>
      </c>
      <c r="W93" s="386"/>
      <c r="X93" s="386">
        <f>IF(U83=2,"","5")</f>
      </c>
      <c r="Y93" s="386">
        <f>IF($AA$52=2,"","5")</f>
      </c>
      <c r="Z93" s="386"/>
      <c r="AA93" s="404">
        <v>8</v>
      </c>
      <c r="AB93" s="388">
        <v>8200</v>
      </c>
      <c r="AC93" s="433">
        <v>4595</v>
      </c>
      <c r="AD93" s="433">
        <v>4710</v>
      </c>
      <c r="AE93" s="388">
        <v>8200</v>
      </c>
      <c r="AF93" s="388">
        <v>8440</v>
      </c>
      <c r="AG93" s="388">
        <v>8680</v>
      </c>
      <c r="AH93" s="386"/>
      <c r="AI93" s="386"/>
      <c r="AJ93" s="386"/>
      <c r="AK93" s="386"/>
      <c r="AL93" s="386"/>
      <c r="AM93" s="386" t="s">
        <v>190</v>
      </c>
      <c r="AN93" s="386" t="s">
        <v>191</v>
      </c>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row>
    <row r="94" spans="1:194" s="393" customFormat="1" ht="27.75" customHeight="1" hidden="1">
      <c r="A94" s="386"/>
      <c r="B94" s="465"/>
      <c r="C94" s="465"/>
      <c r="D94" s="465"/>
      <c r="E94" s="465"/>
      <c r="F94" s="465"/>
      <c r="G94" s="465"/>
      <c r="H94" s="465"/>
      <c r="I94" s="465"/>
      <c r="J94" s="465"/>
      <c r="K94" s="465"/>
      <c r="L94" s="465"/>
      <c r="M94" s="465"/>
      <c r="N94" s="429" t="s">
        <v>565</v>
      </c>
      <c r="O94" s="386"/>
      <c r="P94" s="386"/>
      <c r="Q94" s="386"/>
      <c r="R94" s="386"/>
      <c r="S94" s="386"/>
      <c r="T94" s="386"/>
      <c r="U94" s="386">
        <v>6</v>
      </c>
      <c r="V94" s="386">
        <f>IF(U83=2,"","Aug,14")</f>
      </c>
      <c r="W94" s="386"/>
      <c r="X94" s="386">
        <f>IF(U83=2,"","6")</f>
      </c>
      <c r="Y94" s="386">
        <f>IF($AA$52=2,"","6")</f>
      </c>
      <c r="Z94" s="386"/>
      <c r="AA94" s="404">
        <v>9</v>
      </c>
      <c r="AB94" s="388">
        <v>8440</v>
      </c>
      <c r="AC94" s="433">
        <v>4710</v>
      </c>
      <c r="AD94" s="433">
        <v>4825</v>
      </c>
      <c r="AE94" s="388">
        <v>8440</v>
      </c>
      <c r="AF94" s="388">
        <v>8680</v>
      </c>
      <c r="AG94" s="388">
        <v>8940</v>
      </c>
      <c r="AH94" s="386"/>
      <c r="AI94" s="386"/>
      <c r="AJ94" s="386"/>
      <c r="AK94" s="385" t="str">
        <f>IF(AJ85=2,"","July,12")</f>
        <v>July,12</v>
      </c>
      <c r="AL94" s="386">
        <f>'Annexure -I'!C8</f>
        <v>16150</v>
      </c>
      <c r="AM94" s="386">
        <f>ROUND(AL94*77.896/100,0.1)</f>
        <v>12580</v>
      </c>
      <c r="AN94" s="386">
        <f>ROUND(AL94*71.904/100,0.1)</f>
        <v>11612</v>
      </c>
      <c r="AO94" s="386">
        <f>AM94-AN94</f>
        <v>968</v>
      </c>
      <c r="AP94" s="386"/>
      <c r="AQ94" s="386">
        <f>ROUND(AM94*10%,0.1)</f>
        <v>1258</v>
      </c>
      <c r="AR94" s="386">
        <f aca="true" t="shared" si="11" ref="AR94:AR101">ROUND(AN94*10%,0.1)</f>
        <v>1161</v>
      </c>
      <c r="AS94" s="386">
        <f>AQ94-AR94</f>
        <v>97</v>
      </c>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c r="CX94" s="386"/>
      <c r="CY94" s="386"/>
      <c r="CZ94" s="386"/>
      <c r="DA94" s="386"/>
      <c r="DB94" s="386"/>
      <c r="DC94" s="386"/>
      <c r="DD94" s="386"/>
      <c r="DE94" s="386"/>
      <c r="DF94" s="386"/>
      <c r="DG94" s="386"/>
      <c r="DH94" s="386"/>
      <c r="DI94" s="386"/>
      <c r="DJ94" s="386"/>
      <c r="DK94" s="386"/>
      <c r="DL94" s="386"/>
      <c r="DM94" s="386"/>
      <c r="DN94" s="386"/>
      <c r="DO94" s="386"/>
      <c r="DP94" s="386"/>
      <c r="DQ94" s="386"/>
      <c r="DR94" s="386"/>
      <c r="DS94" s="386"/>
      <c r="DT94" s="386"/>
      <c r="DU94" s="386"/>
      <c r="DV94" s="386"/>
      <c r="DW94" s="386"/>
      <c r="DX94" s="386"/>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row>
    <row r="95" spans="1:194" s="393" customFormat="1" ht="27.75" customHeight="1" hidden="1">
      <c r="A95" s="386"/>
      <c r="B95" s="465"/>
      <c r="C95" s="465"/>
      <c r="D95" s="465"/>
      <c r="E95" s="465"/>
      <c r="F95" s="465"/>
      <c r="G95" s="465"/>
      <c r="H95" s="465"/>
      <c r="I95" s="465"/>
      <c r="J95" s="465"/>
      <c r="K95" s="465"/>
      <c r="L95" s="465"/>
      <c r="M95" s="465"/>
      <c r="N95" s="386"/>
      <c r="O95" s="386"/>
      <c r="P95" s="386"/>
      <c r="Q95" s="386"/>
      <c r="R95" s="386"/>
      <c r="S95" s="386"/>
      <c r="T95" s="386"/>
      <c r="U95" s="386">
        <v>7</v>
      </c>
      <c r="V95" s="386">
        <f>IF(U83=2,"","Sept,14")</f>
      </c>
      <c r="W95" s="386"/>
      <c r="X95" s="386">
        <f>IF(U83=2,"","7")</f>
      </c>
      <c r="Y95" s="386">
        <f>IF($AA$52=2,"","7")</f>
      </c>
      <c r="Z95" s="386"/>
      <c r="AA95" s="404">
        <v>10</v>
      </c>
      <c r="AB95" s="388">
        <v>8680</v>
      </c>
      <c r="AC95" s="433">
        <v>4825</v>
      </c>
      <c r="AD95" s="433">
        <v>4950</v>
      </c>
      <c r="AE95" s="388">
        <v>8680</v>
      </c>
      <c r="AF95" s="388">
        <v>8940</v>
      </c>
      <c r="AG95" s="388">
        <v>9200</v>
      </c>
      <c r="AH95" s="386"/>
      <c r="AI95" s="386"/>
      <c r="AJ95" s="386"/>
      <c r="AK95" s="385" t="str">
        <f>IF(AJ85=2,"","Aug,12")</f>
        <v>Aug,12</v>
      </c>
      <c r="AL95" s="386">
        <f>'Annexure -I'!C9</f>
        <v>16600</v>
      </c>
      <c r="AM95" s="386">
        <f aca="true" t="shared" si="12" ref="AM95:AM101">ROUND(AL95*77.896/100,0.1)</f>
        <v>12931</v>
      </c>
      <c r="AN95" s="386">
        <f aca="true" t="shared" si="13" ref="AN95:AN101">ROUND(AL95*71.904/100,0.1)</f>
        <v>11936</v>
      </c>
      <c r="AO95" s="386">
        <f aca="true" t="shared" si="14" ref="AO95:AO101">AM95-AN95</f>
        <v>995</v>
      </c>
      <c r="AP95" s="386"/>
      <c r="AQ95" s="386">
        <f aca="true" t="shared" si="15" ref="AQ95:AQ101">ROUND(AM95*10%,0.1)</f>
        <v>1293</v>
      </c>
      <c r="AR95" s="386">
        <f t="shared" si="11"/>
        <v>1194</v>
      </c>
      <c r="AS95" s="386">
        <f aca="true" t="shared" si="16" ref="AS95:AS101">AQ95-AR95</f>
        <v>99</v>
      </c>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c r="CX95" s="386"/>
      <c r="CY95" s="386"/>
      <c r="CZ95" s="386"/>
      <c r="DA95" s="386"/>
      <c r="DB95" s="386"/>
      <c r="DC95" s="386"/>
      <c r="DD95" s="386"/>
      <c r="DE95" s="386"/>
      <c r="DF95" s="386"/>
      <c r="DG95" s="386"/>
      <c r="DH95" s="386"/>
      <c r="DI95" s="386"/>
      <c r="DJ95" s="386"/>
      <c r="DK95" s="386"/>
      <c r="DL95" s="386"/>
      <c r="DM95" s="386"/>
      <c r="DN95" s="386"/>
      <c r="DO95" s="386"/>
      <c r="DP95" s="386"/>
      <c r="DQ95" s="386"/>
      <c r="DR95" s="386"/>
      <c r="DS95" s="386"/>
      <c r="DT95" s="386"/>
      <c r="DU95" s="386"/>
      <c r="DV95" s="386"/>
      <c r="DW95" s="386"/>
      <c r="DX95" s="386"/>
      <c r="DY95" s="386"/>
      <c r="DZ95" s="386"/>
      <c r="EA95" s="386"/>
      <c r="EB95" s="386"/>
      <c r="EC95" s="386"/>
      <c r="ED95" s="386"/>
      <c r="EE95" s="386"/>
      <c r="EF95" s="386"/>
      <c r="EG95" s="386"/>
      <c r="EH95" s="386"/>
      <c r="EI95" s="386"/>
      <c r="EJ95" s="386"/>
      <c r="EK95" s="386"/>
      <c r="EL95" s="386"/>
      <c r="EM95" s="386"/>
      <c r="EN95" s="386"/>
      <c r="EO95" s="386"/>
      <c r="EP95" s="386"/>
      <c r="EQ95" s="386"/>
      <c r="ER95" s="386"/>
      <c r="ES95" s="386"/>
      <c r="ET95" s="386"/>
      <c r="EU95" s="386"/>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row>
    <row r="96" spans="1:194" s="393" customFormat="1" ht="27.75" customHeight="1" hidden="1">
      <c r="A96" s="386"/>
      <c r="B96" s="465"/>
      <c r="C96" s="465"/>
      <c r="D96" s="465"/>
      <c r="E96" s="465"/>
      <c r="F96" s="465"/>
      <c r="G96" s="465"/>
      <c r="H96" s="465"/>
      <c r="I96" s="465"/>
      <c r="J96" s="465"/>
      <c r="K96" s="465"/>
      <c r="L96" s="465"/>
      <c r="M96" s="465"/>
      <c r="N96" s="386"/>
      <c r="O96" s="386"/>
      <c r="P96" s="386"/>
      <c r="Q96" s="386"/>
      <c r="R96" s="386"/>
      <c r="S96" s="386"/>
      <c r="T96" s="386"/>
      <c r="U96" s="386">
        <v>8</v>
      </c>
      <c r="V96" s="386">
        <f>IF(U83=2,"","Oct,14")</f>
      </c>
      <c r="W96" s="386"/>
      <c r="X96" s="386">
        <f>IF(U83=2,"","8")</f>
      </c>
      <c r="Y96" s="386">
        <f>IF($AA$52=2,"","8")</f>
      </c>
      <c r="Z96" s="386"/>
      <c r="AA96" s="404">
        <v>11</v>
      </c>
      <c r="AB96" s="388">
        <v>8940</v>
      </c>
      <c r="AC96" s="433">
        <v>4950</v>
      </c>
      <c r="AD96" s="433">
        <v>5075</v>
      </c>
      <c r="AE96" s="388">
        <v>8940</v>
      </c>
      <c r="AF96" s="388">
        <v>9200</v>
      </c>
      <c r="AG96" s="388">
        <v>9460</v>
      </c>
      <c r="AH96" s="386"/>
      <c r="AI96" s="386"/>
      <c r="AJ96" s="386"/>
      <c r="AK96" s="385" t="str">
        <f>IF(AJ85=2,"","Sept,1")</f>
        <v>Sept,1</v>
      </c>
      <c r="AL96" s="386">
        <f>'Annexure -I'!C10</f>
        <v>16600</v>
      </c>
      <c r="AM96" s="386">
        <f t="shared" si="12"/>
        <v>12931</v>
      </c>
      <c r="AN96" s="386">
        <f t="shared" si="13"/>
        <v>11936</v>
      </c>
      <c r="AO96" s="386">
        <f t="shared" si="14"/>
        <v>995</v>
      </c>
      <c r="AP96" s="386"/>
      <c r="AQ96" s="386">
        <f t="shared" si="15"/>
        <v>1293</v>
      </c>
      <c r="AR96" s="386">
        <f t="shared" si="11"/>
        <v>1194</v>
      </c>
      <c r="AS96" s="386">
        <f t="shared" si="16"/>
        <v>99</v>
      </c>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6"/>
      <c r="DS96" s="386"/>
      <c r="DT96" s="386"/>
      <c r="DU96" s="386"/>
      <c r="DV96" s="386"/>
      <c r="DW96" s="386"/>
      <c r="DX96" s="386"/>
      <c r="DY96" s="386"/>
      <c r="DZ96" s="386"/>
      <c r="EA96" s="386"/>
      <c r="EB96" s="386"/>
      <c r="EC96" s="386"/>
      <c r="ED96" s="386"/>
      <c r="EE96" s="386"/>
      <c r="EF96" s="386"/>
      <c r="EG96" s="386"/>
      <c r="EH96" s="386"/>
      <c r="EI96" s="386"/>
      <c r="EJ96" s="386"/>
      <c r="EK96" s="386"/>
      <c r="EL96" s="386"/>
      <c r="EM96" s="386"/>
      <c r="EN96" s="386"/>
      <c r="EO96" s="386"/>
      <c r="EP96" s="386"/>
      <c r="EQ96" s="386"/>
      <c r="ER96" s="386"/>
      <c r="ES96" s="386"/>
      <c r="ET96" s="386"/>
      <c r="EU96" s="386"/>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row>
    <row r="97" spans="1:194" s="393" customFormat="1" ht="27.75" customHeight="1" hidden="1">
      <c r="A97" s="386"/>
      <c r="B97" s="465"/>
      <c r="C97" s="465"/>
      <c r="D97" s="465"/>
      <c r="E97" s="465"/>
      <c r="F97" s="465"/>
      <c r="G97" s="465"/>
      <c r="H97" s="465"/>
      <c r="I97" s="465"/>
      <c r="J97" s="465"/>
      <c r="K97" s="465"/>
      <c r="L97" s="465"/>
      <c r="M97" s="465"/>
      <c r="N97" s="386"/>
      <c r="O97" s="386"/>
      <c r="P97" s="386"/>
      <c r="Q97" s="386"/>
      <c r="R97" s="386"/>
      <c r="S97" s="386"/>
      <c r="T97" s="386"/>
      <c r="U97" s="386">
        <v>9</v>
      </c>
      <c r="V97" s="386">
        <f>IF(U83=2,"","Nov,14")</f>
      </c>
      <c r="W97" s="386"/>
      <c r="X97" s="386">
        <f>IF(U83=2,"","9")</f>
      </c>
      <c r="Y97" s="386">
        <f>IF($AA$52=2,"","9")</f>
      </c>
      <c r="Z97" s="386"/>
      <c r="AA97" s="404">
        <v>12</v>
      </c>
      <c r="AB97" s="388">
        <v>9200</v>
      </c>
      <c r="AC97" s="433">
        <v>5075</v>
      </c>
      <c r="AD97" s="433">
        <v>5200</v>
      </c>
      <c r="AE97" s="388">
        <v>9200</v>
      </c>
      <c r="AF97" s="388">
        <v>9460</v>
      </c>
      <c r="AG97" s="388">
        <v>9740</v>
      </c>
      <c r="AH97" s="386"/>
      <c r="AI97" s="386"/>
      <c r="AJ97" s="386"/>
      <c r="AK97" s="385" t="str">
        <f>IF(AJ85=2,"","Oct,12")</f>
        <v>Oct,12</v>
      </c>
      <c r="AL97" s="386">
        <v>0</v>
      </c>
      <c r="AM97" s="386">
        <v>0</v>
      </c>
      <c r="AN97" s="386">
        <f t="shared" si="13"/>
        <v>0</v>
      </c>
      <c r="AO97" s="386">
        <v>0</v>
      </c>
      <c r="AP97" s="386"/>
      <c r="AQ97" s="386">
        <f t="shared" si="15"/>
        <v>0</v>
      </c>
      <c r="AR97" s="386">
        <f t="shared" si="11"/>
        <v>0</v>
      </c>
      <c r="AS97" s="386">
        <f t="shared" si="16"/>
        <v>0</v>
      </c>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c r="BX97" s="386"/>
      <c r="BY97" s="386"/>
      <c r="BZ97" s="386"/>
      <c r="CA97" s="386"/>
      <c r="CB97" s="386"/>
      <c r="CC97" s="386"/>
      <c r="CD97" s="386"/>
      <c r="CE97" s="386"/>
      <c r="CF97" s="386"/>
      <c r="CG97" s="386"/>
      <c r="CH97" s="386"/>
      <c r="CI97" s="386"/>
      <c r="CJ97" s="386"/>
      <c r="CK97" s="386"/>
      <c r="CL97" s="386"/>
      <c r="CM97" s="386"/>
      <c r="CN97" s="386"/>
      <c r="CO97" s="386"/>
      <c r="CP97" s="386"/>
      <c r="CQ97" s="386"/>
      <c r="CR97" s="386"/>
      <c r="CS97" s="386"/>
      <c r="CT97" s="386"/>
      <c r="CU97" s="386"/>
      <c r="CV97" s="386"/>
      <c r="CW97" s="386"/>
      <c r="CX97" s="386"/>
      <c r="CY97" s="386"/>
      <c r="CZ97" s="386"/>
      <c r="DA97" s="386"/>
      <c r="DB97" s="386"/>
      <c r="DC97" s="386"/>
      <c r="DD97" s="386"/>
      <c r="DE97" s="386"/>
      <c r="DF97" s="386"/>
      <c r="DG97" s="386"/>
      <c r="DH97" s="386"/>
      <c r="DI97" s="386"/>
      <c r="DJ97" s="386"/>
      <c r="DK97" s="386"/>
      <c r="DL97" s="386"/>
      <c r="DM97" s="386"/>
      <c r="DN97" s="386"/>
      <c r="DO97" s="386"/>
      <c r="DP97" s="386"/>
      <c r="DQ97" s="386"/>
      <c r="DR97" s="386"/>
      <c r="DS97" s="386"/>
      <c r="DT97" s="386"/>
      <c r="DU97" s="386"/>
      <c r="DV97" s="386"/>
      <c r="DW97" s="386"/>
      <c r="DX97" s="386"/>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row>
    <row r="98" spans="1:194" s="393" customFormat="1" ht="27.75" customHeight="1" hidden="1">
      <c r="A98" s="386"/>
      <c r="B98" s="465"/>
      <c r="C98" s="465"/>
      <c r="D98" s="465"/>
      <c r="E98" s="465"/>
      <c r="F98" s="465"/>
      <c r="G98" s="465"/>
      <c r="H98" s="465"/>
      <c r="I98" s="465"/>
      <c r="J98" s="465"/>
      <c r="K98" s="465"/>
      <c r="L98" s="465"/>
      <c r="M98" s="465"/>
      <c r="N98" s="386"/>
      <c r="O98" s="386"/>
      <c r="P98" s="386"/>
      <c r="Q98" s="386"/>
      <c r="R98" s="386"/>
      <c r="S98" s="386"/>
      <c r="T98" s="386"/>
      <c r="U98" s="386">
        <v>10</v>
      </c>
      <c r="V98" s="386">
        <f>IF(U83=2,"","Dec,14")</f>
      </c>
      <c r="W98" s="386"/>
      <c r="X98" s="386">
        <f>IF(U83=2,"","10")</f>
      </c>
      <c r="Y98" s="386">
        <f>IF($AA$52=2,"","10")</f>
      </c>
      <c r="Z98" s="386"/>
      <c r="AA98" s="404">
        <v>13</v>
      </c>
      <c r="AB98" s="388">
        <v>9460</v>
      </c>
      <c r="AC98" s="433">
        <v>5200</v>
      </c>
      <c r="AD98" s="433">
        <v>5335</v>
      </c>
      <c r="AE98" s="388">
        <v>9460</v>
      </c>
      <c r="AF98" s="388">
        <v>9740</v>
      </c>
      <c r="AG98" s="388">
        <v>10020</v>
      </c>
      <c r="AH98" s="386"/>
      <c r="AI98" s="386"/>
      <c r="AJ98" s="386"/>
      <c r="AK98" s="385" t="str">
        <f>IF(AJ85=2,"","Nov,12")</f>
        <v>Nov,12</v>
      </c>
      <c r="AL98" s="386">
        <v>0</v>
      </c>
      <c r="AM98" s="386">
        <v>0</v>
      </c>
      <c r="AN98" s="386">
        <f t="shared" si="13"/>
        <v>0</v>
      </c>
      <c r="AO98" s="386">
        <f t="shared" si="14"/>
        <v>0</v>
      </c>
      <c r="AP98" s="386"/>
      <c r="AQ98" s="386">
        <f t="shared" si="15"/>
        <v>0</v>
      </c>
      <c r="AR98" s="386">
        <f t="shared" si="11"/>
        <v>0</v>
      </c>
      <c r="AS98" s="386">
        <f t="shared" si="16"/>
        <v>0</v>
      </c>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86"/>
      <c r="BY98" s="386"/>
      <c r="BZ98" s="386"/>
      <c r="CA98" s="386"/>
      <c r="CB98" s="386"/>
      <c r="CC98" s="386"/>
      <c r="CD98" s="386"/>
      <c r="CE98" s="386"/>
      <c r="CF98" s="386"/>
      <c r="CG98" s="386"/>
      <c r="CH98" s="386"/>
      <c r="CI98" s="386"/>
      <c r="CJ98" s="386"/>
      <c r="CK98" s="386"/>
      <c r="CL98" s="386"/>
      <c r="CM98" s="386"/>
      <c r="CN98" s="386"/>
      <c r="CO98" s="386"/>
      <c r="CP98" s="386"/>
      <c r="CQ98" s="386"/>
      <c r="CR98" s="386"/>
      <c r="CS98" s="386"/>
      <c r="CT98" s="386"/>
      <c r="CU98" s="386"/>
      <c r="CV98" s="386"/>
      <c r="CW98" s="386"/>
      <c r="CX98" s="386"/>
      <c r="CY98" s="386"/>
      <c r="CZ98" s="386"/>
      <c r="DA98" s="386"/>
      <c r="DB98" s="386"/>
      <c r="DC98" s="386"/>
      <c r="DD98" s="386"/>
      <c r="DE98" s="386"/>
      <c r="DF98" s="386"/>
      <c r="DG98" s="386"/>
      <c r="DH98" s="386"/>
      <c r="DI98" s="386"/>
      <c r="DJ98" s="386"/>
      <c r="DK98" s="386"/>
      <c r="DL98" s="386"/>
      <c r="DM98" s="386"/>
      <c r="DN98" s="386"/>
      <c r="DO98" s="386"/>
      <c r="DP98" s="386"/>
      <c r="DQ98" s="386"/>
      <c r="DR98" s="386"/>
      <c r="DS98" s="386"/>
      <c r="DT98" s="386"/>
      <c r="DU98" s="386"/>
      <c r="DV98" s="386"/>
      <c r="DW98" s="386"/>
      <c r="DX98" s="386"/>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row>
    <row r="99" spans="1:194" s="393" customFormat="1" ht="27.75" customHeight="1" hidden="1">
      <c r="A99" s="386"/>
      <c r="B99" s="465"/>
      <c r="C99" s="465"/>
      <c r="D99" s="465"/>
      <c r="E99" s="465"/>
      <c r="F99" s="465"/>
      <c r="G99" s="465"/>
      <c r="H99" s="465"/>
      <c r="I99" s="465"/>
      <c r="J99" s="465"/>
      <c r="K99" s="465"/>
      <c r="L99" s="465"/>
      <c r="M99" s="465"/>
      <c r="N99" s="386">
        <f>Y52</f>
        <v>17</v>
      </c>
      <c r="O99" s="386">
        <f>AA74</f>
        <v>8</v>
      </c>
      <c r="P99" s="386"/>
      <c r="Q99" s="386"/>
      <c r="R99" s="386"/>
      <c r="S99" s="386"/>
      <c r="T99" s="386"/>
      <c r="U99" s="386">
        <v>11</v>
      </c>
      <c r="V99" s="386">
        <f>IF(U83=2,"","Jan,15")</f>
      </c>
      <c r="W99" s="386"/>
      <c r="X99" s="386">
        <f>IF(U83=2,"","11")</f>
      </c>
      <c r="Y99" s="386">
        <f>IF($AA$52=2,"","11")</f>
      </c>
      <c r="Z99" s="386"/>
      <c r="AA99" s="404">
        <v>14</v>
      </c>
      <c r="AB99" s="388">
        <v>9740</v>
      </c>
      <c r="AC99" s="433">
        <v>5335</v>
      </c>
      <c r="AD99" s="433">
        <v>5470</v>
      </c>
      <c r="AE99" s="388">
        <v>9740</v>
      </c>
      <c r="AF99" s="388">
        <v>10020</v>
      </c>
      <c r="AG99" s="388">
        <v>10300</v>
      </c>
      <c r="AH99" s="386"/>
      <c r="AI99" s="386"/>
      <c r="AJ99" s="386"/>
      <c r="AK99" s="385" t="s">
        <v>188</v>
      </c>
      <c r="AL99" s="386">
        <f>IF(AND(BJ55&gt;=10,BJ55&lt;16),BM83,0)</f>
        <v>0</v>
      </c>
      <c r="AM99" s="386">
        <f t="shared" si="12"/>
        <v>0</v>
      </c>
      <c r="AN99" s="386">
        <f t="shared" si="13"/>
        <v>0</v>
      </c>
      <c r="AO99" s="386">
        <f t="shared" si="14"/>
        <v>0</v>
      </c>
      <c r="AP99" s="386">
        <f>SUM(AO94:AO101)</f>
        <v>2958</v>
      </c>
      <c r="AQ99" s="386">
        <f t="shared" si="15"/>
        <v>0</v>
      </c>
      <c r="AR99" s="386">
        <f t="shared" si="11"/>
        <v>0</v>
      </c>
      <c r="AS99" s="386">
        <f t="shared" si="16"/>
        <v>0</v>
      </c>
      <c r="AT99" s="386">
        <f>SUM(AS94:AS101)</f>
        <v>295</v>
      </c>
      <c r="AU99" s="386"/>
      <c r="AV99" s="386"/>
      <c r="AW99" s="386"/>
      <c r="AX99" s="386"/>
      <c r="AY99" s="386"/>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86"/>
      <c r="BX99" s="386"/>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6"/>
      <c r="DH99" s="386"/>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row>
    <row r="100" spans="1:194" s="393" customFormat="1" ht="27.75" customHeight="1" hidden="1">
      <c r="A100" s="386"/>
      <c r="B100" s="465"/>
      <c r="C100" s="465"/>
      <c r="D100" s="465"/>
      <c r="E100" s="465"/>
      <c r="F100" s="465"/>
      <c r="G100" s="465"/>
      <c r="H100" s="465"/>
      <c r="I100" s="465"/>
      <c r="J100" s="465"/>
      <c r="K100" s="465"/>
      <c r="L100" s="465"/>
      <c r="M100" s="465"/>
      <c r="N100" s="386">
        <f>VLOOKUP(O99,O102:Q113,3,0)</f>
        <v>31</v>
      </c>
      <c r="O100" s="387" t="str">
        <f>VLOOKUP(O99+1,AA58:AC70,3,0)</f>
        <v>10</v>
      </c>
      <c r="P100" s="386">
        <f>IF(O100&gt;2,2014,2015)</f>
        <v>2014</v>
      </c>
      <c r="Q100" s="386"/>
      <c r="R100" s="386"/>
      <c r="S100" s="386"/>
      <c r="T100" s="386"/>
      <c r="U100" s="386">
        <v>12</v>
      </c>
      <c r="V100" s="386">
        <f>IF(U83=2,"","Feb,15")</f>
      </c>
      <c r="W100" s="386"/>
      <c r="X100" s="386">
        <f>IF(U83=2,"","12")</f>
      </c>
      <c r="Y100" s="386">
        <f>IF($AA$52=2,"","12")</f>
      </c>
      <c r="Z100" s="386"/>
      <c r="AA100" s="404">
        <v>15</v>
      </c>
      <c r="AB100" s="388">
        <v>10020</v>
      </c>
      <c r="AC100" s="433">
        <v>5470</v>
      </c>
      <c r="AD100" s="433">
        <v>5605</v>
      </c>
      <c r="AE100" s="388">
        <v>10020</v>
      </c>
      <c r="AF100" s="388">
        <v>10300</v>
      </c>
      <c r="AG100" s="388">
        <v>10600</v>
      </c>
      <c r="AH100" s="386"/>
      <c r="AI100" s="386"/>
      <c r="AJ100" s="386"/>
      <c r="AK100" s="386" t="s">
        <v>493</v>
      </c>
      <c r="AL100" s="386">
        <f>IF(AND(AA52=1,O99&gt;4,O99&lt;8),F112,0)</f>
        <v>0</v>
      </c>
      <c r="AM100" s="386">
        <f t="shared" si="12"/>
        <v>0</v>
      </c>
      <c r="AN100" s="386">
        <f t="shared" si="13"/>
        <v>0</v>
      </c>
      <c r="AO100" s="386">
        <f t="shared" si="14"/>
        <v>0</v>
      </c>
      <c r="AP100" s="386"/>
      <c r="AQ100" s="386">
        <f t="shared" si="15"/>
        <v>0</v>
      </c>
      <c r="AR100" s="386">
        <f t="shared" si="11"/>
        <v>0</v>
      </c>
      <c r="AS100" s="386">
        <f t="shared" si="16"/>
        <v>0</v>
      </c>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86"/>
      <c r="BY100" s="386"/>
      <c r="BZ100" s="386"/>
      <c r="CA100" s="386"/>
      <c r="CB100" s="386"/>
      <c r="CC100" s="386"/>
      <c r="CD100" s="386"/>
      <c r="CE100" s="386"/>
      <c r="CF100" s="386"/>
      <c r="CG100" s="386"/>
      <c r="CH100" s="386"/>
      <c r="CI100" s="386"/>
      <c r="CJ100" s="386"/>
      <c r="CK100" s="386"/>
      <c r="CL100" s="386"/>
      <c r="CM100" s="386"/>
      <c r="CN100" s="386"/>
      <c r="CO100" s="386"/>
      <c r="CP100" s="386"/>
      <c r="CQ100" s="386"/>
      <c r="CR100" s="386"/>
      <c r="CS100" s="386"/>
      <c r="CT100" s="386"/>
      <c r="CU100" s="386"/>
      <c r="CV100" s="386"/>
      <c r="CW100" s="386"/>
      <c r="CX100" s="386"/>
      <c r="CY100" s="386"/>
      <c r="CZ100" s="386"/>
      <c r="DA100" s="386"/>
      <c r="DB100" s="386"/>
      <c r="DC100" s="386"/>
      <c r="DD100" s="386"/>
      <c r="DE100" s="386"/>
      <c r="DF100" s="386"/>
      <c r="DG100" s="386"/>
      <c r="DH100" s="386"/>
      <c r="DI100" s="386"/>
      <c r="DJ100" s="386"/>
      <c r="DK100" s="386"/>
      <c r="DL100" s="386"/>
      <c r="DM100" s="386"/>
      <c r="DN100" s="386"/>
      <c r="DO100" s="386"/>
      <c r="DP100" s="386"/>
      <c r="DQ100" s="386"/>
      <c r="DR100" s="386"/>
      <c r="DS100" s="386"/>
      <c r="DT100" s="386"/>
      <c r="DU100" s="386"/>
      <c r="DV100" s="386"/>
      <c r="DW100" s="386"/>
      <c r="DX100" s="386"/>
      <c r="DY100" s="386"/>
      <c r="DZ100" s="386"/>
      <c r="EA100" s="386"/>
      <c r="EB100" s="386"/>
      <c r="EC100" s="386"/>
      <c r="ED100" s="386"/>
      <c r="EE100" s="386"/>
      <c r="EF100" s="386"/>
      <c r="EG100" s="386"/>
      <c r="EH100" s="386"/>
      <c r="EI100" s="386"/>
      <c r="EJ100" s="386"/>
      <c r="EK100" s="386"/>
      <c r="EL100" s="386"/>
      <c r="EM100" s="386"/>
      <c r="EN100" s="386"/>
      <c r="EO100" s="386"/>
      <c r="EP100" s="386"/>
      <c r="EQ100" s="386"/>
      <c r="ER100" s="386"/>
      <c r="ES100" s="386"/>
      <c r="ET100" s="386"/>
      <c r="EU100" s="386"/>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row>
    <row r="101" spans="1:194" s="393" customFormat="1" ht="27.75" customHeight="1" hidden="1">
      <c r="A101" s="386"/>
      <c r="B101" s="465"/>
      <c r="C101" s="465"/>
      <c r="D101" s="465"/>
      <c r="E101" s="465"/>
      <c r="F101" s="465"/>
      <c r="G101" s="465"/>
      <c r="H101" s="465"/>
      <c r="I101" s="465"/>
      <c r="J101" s="465"/>
      <c r="K101" s="465"/>
      <c r="L101" s="465"/>
      <c r="M101" s="465"/>
      <c r="N101" s="386"/>
      <c r="O101" s="386"/>
      <c r="P101" s="386"/>
      <c r="Q101" s="386"/>
      <c r="R101" s="386"/>
      <c r="S101" s="386"/>
      <c r="T101" s="386"/>
      <c r="U101" s="386"/>
      <c r="V101" s="386"/>
      <c r="W101" s="386"/>
      <c r="X101" s="386">
        <f>IF(U83=2,"","13")</f>
      </c>
      <c r="Y101" s="386">
        <f>IF($AA$52=2,"","13")</f>
      </c>
      <c r="Z101" s="386"/>
      <c r="AA101" s="404">
        <v>16</v>
      </c>
      <c r="AB101" s="388">
        <v>10300</v>
      </c>
      <c r="AC101" s="433">
        <v>5605</v>
      </c>
      <c r="AD101" s="433">
        <v>5750</v>
      </c>
      <c r="AE101" s="388">
        <v>10300</v>
      </c>
      <c r="AF101" s="388">
        <v>10600</v>
      </c>
      <c r="AG101" s="388">
        <v>10900</v>
      </c>
      <c r="AH101" s="386"/>
      <c r="AI101" s="386"/>
      <c r="AJ101" s="386"/>
      <c r="AK101" s="386" t="s">
        <v>494</v>
      </c>
      <c r="AL101" s="386">
        <f>IF(AND(U83=1,L114&gt;4,L114&lt;8),F120,0)</f>
        <v>0</v>
      </c>
      <c r="AM101" s="386">
        <f t="shared" si="12"/>
        <v>0</v>
      </c>
      <c r="AN101" s="386">
        <f t="shared" si="13"/>
        <v>0</v>
      </c>
      <c r="AO101" s="386">
        <f t="shared" si="14"/>
        <v>0</v>
      </c>
      <c r="AP101" s="386"/>
      <c r="AQ101" s="386">
        <f t="shared" si="15"/>
        <v>0</v>
      </c>
      <c r="AR101" s="386">
        <f t="shared" si="11"/>
        <v>0</v>
      </c>
      <c r="AS101" s="386">
        <f t="shared" si="16"/>
        <v>0</v>
      </c>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6"/>
      <c r="CY101" s="386"/>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86"/>
      <c r="EA101" s="386"/>
      <c r="EB101" s="386"/>
      <c r="EC101" s="386"/>
      <c r="ED101" s="386"/>
      <c r="EE101" s="386"/>
      <c r="EF101" s="386"/>
      <c r="EG101" s="386"/>
      <c r="EH101" s="386"/>
      <c r="EI101" s="386"/>
      <c r="EJ101" s="386"/>
      <c r="EK101" s="386"/>
      <c r="EL101" s="386"/>
      <c r="EM101" s="386"/>
      <c r="EN101" s="386"/>
      <c r="EO101" s="386"/>
      <c r="EP101" s="386"/>
      <c r="EQ101" s="386"/>
      <c r="ER101" s="386"/>
      <c r="ES101" s="386"/>
      <c r="ET101" s="386"/>
      <c r="EU101" s="386"/>
      <c r="EV101" s="386"/>
      <c r="EW101" s="386"/>
      <c r="EX101" s="386"/>
      <c r="EY101" s="386"/>
      <c r="EZ101" s="386"/>
      <c r="FA101" s="386"/>
      <c r="FB101" s="386"/>
      <c r="FC101" s="386"/>
      <c r="FD101" s="386"/>
      <c r="FE101" s="386"/>
      <c r="FF101" s="386"/>
      <c r="FG101" s="386"/>
      <c r="FH101" s="386"/>
      <c r="FI101" s="386"/>
      <c r="FJ101" s="386"/>
      <c r="FK101" s="386"/>
      <c r="FL101" s="386"/>
      <c r="FM101" s="386"/>
      <c r="FN101" s="386"/>
      <c r="FO101" s="386"/>
      <c r="FP101" s="386"/>
      <c r="FQ101" s="386"/>
      <c r="FR101" s="386"/>
      <c r="FS101" s="386"/>
      <c r="FT101" s="386"/>
      <c r="FU101" s="386"/>
      <c r="FV101" s="386"/>
      <c r="FW101" s="386"/>
      <c r="FX101" s="386"/>
      <c r="FY101" s="386"/>
      <c r="FZ101" s="386"/>
      <c r="GA101" s="386"/>
      <c r="GB101" s="386"/>
      <c r="GC101" s="386"/>
      <c r="GD101" s="386"/>
      <c r="GE101" s="386"/>
      <c r="GF101" s="386"/>
      <c r="GG101" s="386"/>
      <c r="GH101" s="386"/>
      <c r="GI101" s="386"/>
      <c r="GJ101" s="386"/>
      <c r="GK101" s="386"/>
      <c r="GL101" s="386"/>
    </row>
    <row r="102" spans="1:194" s="393" customFormat="1" ht="27.75" customHeight="1" hidden="1">
      <c r="A102" s="386"/>
      <c r="B102" s="465"/>
      <c r="C102" s="474">
        <v>17</v>
      </c>
      <c r="D102" s="465"/>
      <c r="E102" s="465"/>
      <c r="F102" s="465"/>
      <c r="G102" s="465"/>
      <c r="H102" s="465"/>
      <c r="I102" s="465"/>
      <c r="J102" s="465"/>
      <c r="K102" s="465"/>
      <c r="L102" s="465" t="str">
        <f>CONCATENATE(N99,"-",N100,"/",O100,"/",P100)</f>
        <v>17-31/10/2014</v>
      </c>
      <c r="M102" s="465"/>
      <c r="N102" s="386"/>
      <c r="O102" s="386">
        <v>1</v>
      </c>
      <c r="P102" s="386" t="str">
        <f>IF(O101=2,"","March,12")</f>
        <v>March,12</v>
      </c>
      <c r="Q102" s="386">
        <v>31</v>
      </c>
      <c r="R102" s="386"/>
      <c r="S102" s="386"/>
      <c r="T102" s="386"/>
      <c r="U102" s="386"/>
      <c r="V102" s="386"/>
      <c r="W102" s="386"/>
      <c r="X102" s="386">
        <f>IF(U83=2,"","14")</f>
      </c>
      <c r="Y102" s="386">
        <f>IF($AA$52=2,"","14")</f>
      </c>
      <c r="Z102" s="386"/>
      <c r="AA102" s="404">
        <v>17</v>
      </c>
      <c r="AB102" s="388">
        <v>10600</v>
      </c>
      <c r="AC102" s="433">
        <v>5750</v>
      </c>
      <c r="AD102" s="433">
        <v>5895</v>
      </c>
      <c r="AE102" s="388">
        <v>10600</v>
      </c>
      <c r="AF102" s="388">
        <v>10900</v>
      </c>
      <c r="AG102" s="388">
        <v>11200</v>
      </c>
      <c r="AH102" s="386"/>
      <c r="AI102" s="386"/>
      <c r="AJ102" s="386"/>
      <c r="AK102" s="386"/>
      <c r="AL102" s="386"/>
      <c r="AM102" s="386"/>
      <c r="AN102" s="386"/>
      <c r="AO102" s="386">
        <f>SUM(AO94:AO101)</f>
        <v>2958</v>
      </c>
      <c r="AP102" s="386">
        <f>SUM(AP94:AP101)</f>
        <v>2958</v>
      </c>
      <c r="AQ102" s="386">
        <f>SUM(AQ94:AQ101)</f>
        <v>3844</v>
      </c>
      <c r="AR102" s="386">
        <f>SUM(AR94:AR101)</f>
        <v>3549</v>
      </c>
      <c r="AS102" s="386">
        <f>SUM(AS94:AS101)</f>
        <v>295</v>
      </c>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386"/>
      <c r="BY102" s="386"/>
      <c r="BZ102" s="386"/>
      <c r="CA102" s="386"/>
      <c r="CB102" s="386"/>
      <c r="CC102" s="386"/>
      <c r="CD102" s="386"/>
      <c r="CE102" s="386"/>
      <c r="CF102" s="386"/>
      <c r="CG102" s="386"/>
      <c r="CH102" s="386"/>
      <c r="CI102" s="386"/>
      <c r="CJ102" s="386"/>
      <c r="CK102" s="386"/>
      <c r="CL102" s="386"/>
      <c r="CM102" s="386"/>
      <c r="CN102" s="386"/>
      <c r="CO102" s="386"/>
      <c r="CP102" s="386"/>
      <c r="CQ102" s="386"/>
      <c r="CR102" s="386"/>
      <c r="CS102" s="386"/>
      <c r="CT102" s="386"/>
      <c r="CU102" s="386"/>
      <c r="CV102" s="386"/>
      <c r="CW102" s="386"/>
      <c r="CX102" s="386"/>
      <c r="CY102" s="386"/>
      <c r="CZ102" s="386"/>
      <c r="DA102" s="386"/>
      <c r="DB102" s="386"/>
      <c r="DC102" s="386"/>
      <c r="DD102" s="386"/>
      <c r="DE102" s="386"/>
      <c r="DF102" s="386"/>
      <c r="DG102" s="386"/>
      <c r="DH102" s="386"/>
      <c r="DI102" s="386"/>
      <c r="DJ102" s="386"/>
      <c r="DK102" s="386"/>
      <c r="DL102" s="386"/>
      <c r="DM102" s="386"/>
      <c r="DN102" s="386"/>
      <c r="DO102" s="386"/>
      <c r="DP102" s="386"/>
      <c r="DQ102" s="386"/>
      <c r="DR102" s="386"/>
      <c r="DS102" s="386"/>
      <c r="DT102" s="386"/>
      <c r="DU102" s="386"/>
      <c r="DV102" s="386"/>
      <c r="DW102" s="386"/>
      <c r="DX102" s="386"/>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386"/>
      <c r="FA102" s="386"/>
      <c r="FB102" s="386"/>
      <c r="FC102" s="386"/>
      <c r="FD102" s="386"/>
      <c r="FE102" s="386"/>
      <c r="FF102" s="386"/>
      <c r="FG102" s="386"/>
      <c r="FH102" s="386"/>
      <c r="FI102" s="386"/>
      <c r="FJ102" s="386"/>
      <c r="FK102" s="386"/>
      <c r="FL102" s="386"/>
      <c r="FM102" s="386"/>
      <c r="FN102" s="386"/>
      <c r="FO102" s="386"/>
      <c r="FP102" s="386"/>
      <c r="FQ102" s="386"/>
      <c r="FR102" s="386"/>
      <c r="FS102" s="386"/>
      <c r="FT102" s="386"/>
      <c r="FU102" s="386"/>
      <c r="FV102" s="386"/>
      <c r="FW102" s="386"/>
      <c r="FX102" s="386"/>
      <c r="FY102" s="386"/>
      <c r="FZ102" s="386"/>
      <c r="GA102" s="386"/>
      <c r="GB102" s="386"/>
      <c r="GC102" s="386"/>
      <c r="GD102" s="386"/>
      <c r="GE102" s="386"/>
      <c r="GF102" s="386"/>
      <c r="GG102" s="386"/>
      <c r="GH102" s="386"/>
      <c r="GI102" s="386"/>
      <c r="GJ102" s="386"/>
      <c r="GK102" s="386"/>
      <c r="GL102" s="386"/>
    </row>
    <row r="103" spans="1:194" s="393" customFormat="1" ht="27.75" customHeight="1" hidden="1">
      <c r="A103" s="386"/>
      <c r="B103" s="465"/>
      <c r="C103" s="465"/>
      <c r="D103" s="465"/>
      <c r="E103" s="465"/>
      <c r="F103" s="465"/>
      <c r="G103" s="465"/>
      <c r="H103" s="465"/>
      <c r="I103" s="465"/>
      <c r="J103" s="465"/>
      <c r="K103" s="465"/>
      <c r="L103" s="465"/>
      <c r="M103" s="465"/>
      <c r="N103" s="386"/>
      <c r="O103" s="386">
        <v>2</v>
      </c>
      <c r="P103" s="386" t="str">
        <f>IF(O101=2,"","April,12")</f>
        <v>April,12</v>
      </c>
      <c r="Q103" s="386">
        <v>30</v>
      </c>
      <c r="R103" s="386"/>
      <c r="S103" s="386"/>
      <c r="T103" s="386"/>
      <c r="U103" s="386"/>
      <c r="V103" s="386"/>
      <c r="W103" s="386"/>
      <c r="X103" s="386">
        <f>IF(U83=2,"","15")</f>
      </c>
      <c r="Y103" s="386">
        <f>IF($AA$52=2,"","15")</f>
      </c>
      <c r="Z103" s="386"/>
      <c r="AA103" s="404">
        <v>18</v>
      </c>
      <c r="AB103" s="388">
        <v>10900</v>
      </c>
      <c r="AC103" s="433">
        <v>5895</v>
      </c>
      <c r="AD103" s="433">
        <v>6040</v>
      </c>
      <c r="AE103" s="388">
        <v>10900</v>
      </c>
      <c r="AF103" s="388">
        <v>11200</v>
      </c>
      <c r="AG103" s="388">
        <v>11530</v>
      </c>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386"/>
      <c r="DL103" s="386"/>
      <c r="DM103" s="386"/>
      <c r="DN103" s="386"/>
      <c r="DO103" s="386"/>
      <c r="DP103" s="386"/>
      <c r="DQ103" s="386"/>
      <c r="DR103" s="386"/>
      <c r="DS103" s="386"/>
      <c r="DT103" s="386"/>
      <c r="DU103" s="386"/>
      <c r="DV103" s="386"/>
      <c r="DW103" s="386"/>
      <c r="DX103" s="386"/>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386"/>
      <c r="FA103" s="386"/>
      <c r="FB103" s="386"/>
      <c r="FC103" s="386"/>
      <c r="FD103" s="386"/>
      <c r="FE103" s="386"/>
      <c r="FF103" s="386"/>
      <c r="FG103" s="386"/>
      <c r="FH103" s="386"/>
      <c r="FI103" s="386"/>
      <c r="FJ103" s="386"/>
      <c r="FK103" s="386"/>
      <c r="FL103" s="386"/>
      <c r="FM103" s="386"/>
      <c r="FN103" s="386"/>
      <c r="FO103" s="386"/>
      <c r="FP103" s="386"/>
      <c r="FQ103" s="386"/>
      <c r="FR103" s="386"/>
      <c r="FS103" s="386"/>
      <c r="FT103" s="386"/>
      <c r="FU103" s="386"/>
      <c r="FV103" s="386"/>
      <c r="FW103" s="386"/>
      <c r="FX103" s="386"/>
      <c r="FY103" s="386"/>
      <c r="FZ103" s="386"/>
      <c r="GA103" s="386"/>
      <c r="GB103" s="386"/>
      <c r="GC103" s="386"/>
      <c r="GD103" s="386"/>
      <c r="GE103" s="386"/>
      <c r="GF103" s="386"/>
      <c r="GG103" s="386"/>
      <c r="GH103" s="386"/>
      <c r="GI103" s="386"/>
      <c r="GJ103" s="386"/>
      <c r="GK103" s="386"/>
      <c r="GL103" s="386"/>
    </row>
    <row r="104" spans="1:194" s="393" customFormat="1" ht="27.75" customHeight="1" hidden="1" thickBot="1">
      <c r="A104" s="386"/>
      <c r="B104" s="465"/>
      <c r="C104" s="465"/>
      <c r="D104" s="465"/>
      <c r="E104" s="465"/>
      <c r="F104" s="465"/>
      <c r="G104" s="465"/>
      <c r="H104" s="465"/>
      <c r="I104" s="465"/>
      <c r="J104" s="465"/>
      <c r="K104" s="465"/>
      <c r="L104" s="465">
        <f>VLOOKUP(O99+1,AN23:AP34,3,0)</f>
        <v>16600</v>
      </c>
      <c r="M104" s="465"/>
      <c r="N104" s="386"/>
      <c r="O104" s="386">
        <v>3</v>
      </c>
      <c r="P104" s="386" t="str">
        <f>IF(O101=2,"","May,12")</f>
        <v>May,12</v>
      </c>
      <c r="Q104" s="386">
        <v>31</v>
      </c>
      <c r="R104" s="386"/>
      <c r="S104" s="386"/>
      <c r="T104" s="386">
        <v>2</v>
      </c>
      <c r="U104" s="386">
        <f>VLOOKUP(T104,T105:U106,2,0)</f>
      </c>
      <c r="V104" s="386"/>
      <c r="W104" s="386"/>
      <c r="X104" s="386">
        <f>IF(U83=2,"","16")</f>
      </c>
      <c r="Y104" s="386">
        <f>IF($AA$52=2,"","16")</f>
      </c>
      <c r="Z104" s="386"/>
      <c r="AA104" s="404">
        <v>19</v>
      </c>
      <c r="AB104" s="388">
        <v>11200</v>
      </c>
      <c r="AC104" s="433">
        <v>6040</v>
      </c>
      <c r="AD104" s="434">
        <v>6195</v>
      </c>
      <c r="AE104" s="388">
        <v>11200</v>
      </c>
      <c r="AF104" s="388">
        <v>11530</v>
      </c>
      <c r="AG104" s="388">
        <v>11860</v>
      </c>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386"/>
      <c r="FA104" s="386"/>
      <c r="FB104" s="386"/>
      <c r="FC104" s="386"/>
      <c r="FD104" s="386"/>
      <c r="FE104" s="386"/>
      <c r="FF104" s="386"/>
      <c r="FG104" s="386"/>
      <c r="FH104" s="386"/>
      <c r="FI104" s="386"/>
      <c r="FJ104" s="386"/>
      <c r="FK104" s="386"/>
      <c r="FL104" s="386"/>
      <c r="FM104" s="386"/>
      <c r="FN104" s="386"/>
      <c r="FO104" s="386"/>
      <c r="FP104" s="386"/>
      <c r="FQ104" s="386"/>
      <c r="FR104" s="386"/>
      <c r="FS104" s="386"/>
      <c r="FT104" s="386"/>
      <c r="FU104" s="386"/>
      <c r="FV104" s="386"/>
      <c r="FW104" s="386"/>
      <c r="FX104" s="386"/>
      <c r="FY104" s="386"/>
      <c r="FZ104" s="386"/>
      <c r="GA104" s="386"/>
      <c r="GB104" s="386"/>
      <c r="GC104" s="386"/>
      <c r="GD104" s="386"/>
      <c r="GE104" s="386"/>
      <c r="GF104" s="386"/>
      <c r="GG104" s="386"/>
      <c r="GH104" s="386"/>
      <c r="GI104" s="386"/>
      <c r="GJ104" s="386"/>
      <c r="GK104" s="386"/>
      <c r="GL104" s="386"/>
    </row>
    <row r="105" spans="1:194" s="393" customFormat="1" ht="27.75" customHeight="1" hidden="1" thickBot="1">
      <c r="A105" s="386"/>
      <c r="B105" s="465"/>
      <c r="C105" s="465"/>
      <c r="D105" s="465"/>
      <c r="E105" s="465"/>
      <c r="F105" s="465"/>
      <c r="G105" s="465"/>
      <c r="H105" s="465"/>
      <c r="I105" s="465"/>
      <c r="J105" s="465"/>
      <c r="K105" s="465"/>
      <c r="L105" s="465">
        <f>VLOOKUP(O99+2,AN23:AP34,3,0)</f>
        <v>16600</v>
      </c>
      <c r="M105" s="465"/>
      <c r="N105" s="386"/>
      <c r="O105" s="386">
        <v>4</v>
      </c>
      <c r="P105" s="386" t="str">
        <f>IF(O101=2,"","June,12")</f>
        <v>June,12</v>
      </c>
      <c r="Q105" s="386">
        <v>30</v>
      </c>
      <c r="R105" s="386"/>
      <c r="S105" s="386"/>
      <c r="T105" s="386">
        <v>1</v>
      </c>
      <c r="U105" s="386">
        <f>IF(U83=1,"Promotion Date","")</f>
      </c>
      <c r="V105" s="386"/>
      <c r="W105" s="386"/>
      <c r="X105" s="386">
        <f>IF(U83=2,"","17")</f>
      </c>
      <c r="Y105" s="386">
        <f>IF($AA$52=2,"","17")</f>
      </c>
      <c r="Z105" s="386"/>
      <c r="AA105" s="404">
        <v>20</v>
      </c>
      <c r="AB105" s="388">
        <v>11530</v>
      </c>
      <c r="AC105" s="434">
        <v>6195</v>
      </c>
      <c r="AD105" s="435">
        <v>6350</v>
      </c>
      <c r="AE105" s="388">
        <v>11530</v>
      </c>
      <c r="AF105" s="388">
        <v>11860</v>
      </c>
      <c r="AG105" s="388">
        <v>12190</v>
      </c>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6"/>
      <c r="CY105" s="386"/>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86"/>
      <c r="EA105" s="386"/>
      <c r="EB105" s="386"/>
      <c r="EC105" s="386"/>
      <c r="ED105" s="386"/>
      <c r="EE105" s="386"/>
      <c r="EF105" s="386"/>
      <c r="EG105" s="386"/>
      <c r="EH105" s="386"/>
      <c r="EI105" s="386"/>
      <c r="EJ105" s="386"/>
      <c r="EK105" s="386"/>
      <c r="EL105" s="386"/>
      <c r="EM105" s="386"/>
      <c r="EN105" s="386"/>
      <c r="EO105" s="386"/>
      <c r="EP105" s="386"/>
      <c r="EQ105" s="386"/>
      <c r="ER105" s="386"/>
      <c r="ES105" s="386"/>
      <c r="ET105" s="386"/>
      <c r="EU105" s="386"/>
      <c r="EV105" s="386"/>
      <c r="EW105" s="386"/>
      <c r="EX105" s="386"/>
      <c r="EY105" s="386"/>
      <c r="EZ105" s="386"/>
      <c r="FA105" s="386"/>
      <c r="FB105" s="386"/>
      <c r="FC105" s="386"/>
      <c r="FD105" s="386"/>
      <c r="FE105" s="386"/>
      <c r="FF105" s="386"/>
      <c r="FG105" s="386"/>
      <c r="FH105" s="386"/>
      <c r="FI105" s="386"/>
      <c r="FJ105" s="386"/>
      <c r="FK105" s="386"/>
      <c r="FL105" s="386"/>
      <c r="FM105" s="386"/>
      <c r="FN105" s="386"/>
      <c r="FO105" s="386"/>
      <c r="FP105" s="386"/>
      <c r="FQ105" s="386"/>
      <c r="FR105" s="386"/>
      <c r="FS105" s="386"/>
      <c r="FT105" s="386"/>
      <c r="FU105" s="386"/>
      <c r="FV105" s="386"/>
      <c r="FW105" s="386"/>
      <c r="FX105" s="386"/>
      <c r="FY105" s="386"/>
      <c r="FZ105" s="386"/>
      <c r="GA105" s="386"/>
      <c r="GB105" s="386"/>
      <c r="GC105" s="386"/>
      <c r="GD105" s="386"/>
      <c r="GE105" s="386"/>
      <c r="GF105" s="386"/>
      <c r="GG105" s="386"/>
      <c r="GH105" s="386"/>
      <c r="GI105" s="386"/>
      <c r="GJ105" s="386"/>
      <c r="GK105" s="386"/>
      <c r="GL105" s="386"/>
    </row>
    <row r="106" spans="1:194" s="393" customFormat="1" ht="27.75" customHeight="1" hidden="1">
      <c r="A106" s="386"/>
      <c r="B106" s="465"/>
      <c r="C106" s="465"/>
      <c r="D106" s="465"/>
      <c r="E106" s="465"/>
      <c r="F106" s="465"/>
      <c r="G106" s="465"/>
      <c r="H106" s="465"/>
      <c r="I106" s="465"/>
      <c r="J106" s="465"/>
      <c r="K106" s="465"/>
      <c r="L106" s="465"/>
      <c r="M106" s="465"/>
      <c r="N106" s="386"/>
      <c r="O106" s="386">
        <v>5</v>
      </c>
      <c r="P106" s="386" t="str">
        <f>IF(O101=2,"","July,12")</f>
        <v>July,12</v>
      </c>
      <c r="Q106" s="386">
        <v>31</v>
      </c>
      <c r="R106" s="386"/>
      <c r="S106" s="386"/>
      <c r="T106" s="386">
        <v>2</v>
      </c>
      <c r="U106" s="386">
        <f>IF(U83=1,"Increment Date","")</f>
      </c>
      <c r="V106" s="386"/>
      <c r="W106" s="386"/>
      <c r="X106" s="386">
        <f>IF(U83=2,"","18")</f>
      </c>
      <c r="Y106" s="386">
        <f>IF($AA$52=2,"","18")</f>
      </c>
      <c r="Z106" s="386"/>
      <c r="AA106" s="404">
        <v>21</v>
      </c>
      <c r="AB106" s="388">
        <v>11860</v>
      </c>
      <c r="AC106" s="435">
        <v>6350</v>
      </c>
      <c r="AD106" s="433">
        <v>6505</v>
      </c>
      <c r="AE106" s="388">
        <v>11860</v>
      </c>
      <c r="AF106" s="388">
        <v>12190</v>
      </c>
      <c r="AG106" s="388">
        <v>12550</v>
      </c>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c r="CO106" s="386"/>
      <c r="CP106" s="386"/>
      <c r="CQ106" s="386"/>
      <c r="CR106" s="386"/>
      <c r="CS106" s="386"/>
      <c r="CT106" s="386"/>
      <c r="CU106" s="386"/>
      <c r="CV106" s="386"/>
      <c r="CW106" s="386"/>
      <c r="CX106" s="386"/>
      <c r="CY106" s="386"/>
      <c r="CZ106" s="386"/>
      <c r="DA106" s="386"/>
      <c r="DB106" s="386"/>
      <c r="DC106" s="386"/>
      <c r="DD106" s="386"/>
      <c r="DE106" s="386"/>
      <c r="DF106" s="386"/>
      <c r="DG106" s="386"/>
      <c r="DH106" s="386"/>
      <c r="DI106" s="386"/>
      <c r="DJ106" s="386"/>
      <c r="DK106" s="386"/>
      <c r="DL106" s="386"/>
      <c r="DM106" s="386"/>
      <c r="DN106" s="386"/>
      <c r="DO106" s="386"/>
      <c r="DP106" s="386"/>
      <c r="DQ106" s="386"/>
      <c r="DR106" s="386"/>
      <c r="DS106" s="386"/>
      <c r="DT106" s="386"/>
      <c r="DU106" s="386"/>
      <c r="DV106" s="386"/>
      <c r="DW106" s="386"/>
      <c r="DX106" s="386"/>
      <c r="DY106" s="386"/>
      <c r="DZ106" s="386"/>
      <c r="EA106" s="386"/>
      <c r="EB106" s="386"/>
      <c r="EC106" s="386"/>
      <c r="ED106" s="386"/>
      <c r="EE106" s="386"/>
      <c r="EF106" s="386"/>
      <c r="EG106" s="386"/>
      <c r="EH106" s="386"/>
      <c r="EI106" s="386"/>
      <c r="EJ106" s="386"/>
      <c r="EK106" s="386"/>
      <c r="EL106" s="386"/>
      <c r="EM106" s="386"/>
      <c r="EN106" s="386"/>
      <c r="EO106" s="386"/>
      <c r="EP106" s="386"/>
      <c r="EQ106" s="386"/>
      <c r="ER106" s="386"/>
      <c r="ES106" s="386"/>
      <c r="ET106" s="386"/>
      <c r="EU106" s="386"/>
      <c r="EV106" s="386"/>
      <c r="EW106" s="386"/>
      <c r="EX106" s="386"/>
      <c r="EY106" s="386"/>
      <c r="EZ106" s="386"/>
      <c r="FA106" s="386"/>
      <c r="FB106" s="386"/>
      <c r="FC106" s="386"/>
      <c r="FD106" s="386"/>
      <c r="FE106" s="386"/>
      <c r="FF106" s="386"/>
      <c r="FG106" s="386"/>
      <c r="FH106" s="386"/>
      <c r="FI106" s="386"/>
      <c r="FJ106" s="386"/>
      <c r="FK106" s="386"/>
      <c r="FL106" s="386"/>
      <c r="FM106" s="386"/>
      <c r="FN106" s="386"/>
      <c r="FO106" s="386"/>
      <c r="FP106" s="386"/>
      <c r="FQ106" s="386"/>
      <c r="FR106" s="386"/>
      <c r="FS106" s="386"/>
      <c r="FT106" s="386"/>
      <c r="FU106" s="386"/>
      <c r="FV106" s="386"/>
      <c r="FW106" s="386"/>
      <c r="FX106" s="386"/>
      <c r="FY106" s="386"/>
      <c r="FZ106" s="386"/>
      <c r="GA106" s="386"/>
      <c r="GB106" s="386"/>
      <c r="GC106" s="386"/>
      <c r="GD106" s="386"/>
      <c r="GE106" s="386"/>
      <c r="GF106" s="386"/>
      <c r="GG106" s="386"/>
      <c r="GH106" s="386"/>
      <c r="GI106" s="386"/>
      <c r="GJ106" s="386"/>
      <c r="GK106" s="386"/>
      <c r="GL106" s="386"/>
    </row>
    <row r="107" spans="1:194" s="393" customFormat="1" ht="27.75" customHeight="1" hidden="1">
      <c r="A107" s="386"/>
      <c r="B107" s="465"/>
      <c r="C107" s="465"/>
      <c r="D107" s="465"/>
      <c r="E107" s="465"/>
      <c r="F107" s="465"/>
      <c r="G107" s="465"/>
      <c r="H107" s="465"/>
      <c r="I107" s="465"/>
      <c r="J107" s="465"/>
      <c r="K107" s="465"/>
      <c r="L107" s="465">
        <f>VLOOKUP(O99+1,AN23:AQ34,4,0)</f>
        <v>77.896</v>
      </c>
      <c r="M107" s="465"/>
      <c r="N107" s="386"/>
      <c r="O107" s="386">
        <v>6</v>
      </c>
      <c r="P107" s="386" t="str">
        <f>IF(O101=2,"","Aug,12")</f>
        <v>Aug,12</v>
      </c>
      <c r="Q107" s="386">
        <v>31</v>
      </c>
      <c r="R107" s="386"/>
      <c r="S107" s="386"/>
      <c r="T107" s="386"/>
      <c r="U107" s="386"/>
      <c r="V107" s="386"/>
      <c r="W107" s="386"/>
      <c r="X107" s="386">
        <f>IF(U83=2,"","19")</f>
      </c>
      <c r="Y107" s="386">
        <f>IF($AA$52=2,"","19")</f>
      </c>
      <c r="Z107" s="386"/>
      <c r="AA107" s="404">
        <v>22</v>
      </c>
      <c r="AB107" s="388">
        <v>12190</v>
      </c>
      <c r="AC107" s="433">
        <v>6505</v>
      </c>
      <c r="AD107" s="433">
        <v>6675</v>
      </c>
      <c r="AE107" s="388">
        <v>12190</v>
      </c>
      <c r="AF107" s="388">
        <v>12550</v>
      </c>
      <c r="AG107" s="388">
        <v>12910</v>
      </c>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386"/>
      <c r="FA107" s="386"/>
      <c r="FB107" s="386"/>
      <c r="FC107" s="386"/>
      <c r="FD107" s="386"/>
      <c r="FE107" s="386"/>
      <c r="FF107" s="386"/>
      <c r="FG107" s="386"/>
      <c r="FH107" s="386"/>
      <c r="FI107" s="386"/>
      <c r="FJ107" s="386"/>
      <c r="FK107" s="386"/>
      <c r="FL107" s="386"/>
      <c r="FM107" s="386"/>
      <c r="FN107" s="386"/>
      <c r="FO107" s="386"/>
      <c r="FP107" s="386"/>
      <c r="FQ107" s="386"/>
      <c r="FR107" s="386"/>
      <c r="FS107" s="386"/>
      <c r="FT107" s="386"/>
      <c r="FU107" s="386"/>
      <c r="FV107" s="386"/>
      <c r="FW107" s="386"/>
      <c r="FX107" s="386"/>
      <c r="FY107" s="386"/>
      <c r="FZ107" s="386"/>
      <c r="GA107" s="386"/>
      <c r="GB107" s="386"/>
      <c r="GC107" s="386"/>
      <c r="GD107" s="386"/>
      <c r="GE107" s="386"/>
      <c r="GF107" s="386"/>
      <c r="GG107" s="386"/>
      <c r="GH107" s="386"/>
      <c r="GI107" s="386"/>
      <c r="GJ107" s="386"/>
      <c r="GK107" s="386"/>
      <c r="GL107" s="386"/>
    </row>
    <row r="108" spans="1:194" s="393" customFormat="1" ht="27.75" customHeight="1" hidden="1" thickBot="1">
      <c r="A108" s="386"/>
      <c r="B108" s="465"/>
      <c r="C108" s="465"/>
      <c r="D108" s="465"/>
      <c r="E108" s="465"/>
      <c r="F108" s="465"/>
      <c r="G108" s="465"/>
      <c r="H108" s="465"/>
      <c r="I108" s="465"/>
      <c r="J108" s="465"/>
      <c r="K108" s="465"/>
      <c r="L108" s="465">
        <f>VLOOKUP(O99+1,N35:Q46,3,)</f>
        <v>12</v>
      </c>
      <c r="M108" s="465"/>
      <c r="N108" s="386"/>
      <c r="O108" s="386">
        <v>7</v>
      </c>
      <c r="P108" s="386" t="str">
        <f>IF(O101=2,"","Sept,12")</f>
        <v>Sept,12</v>
      </c>
      <c r="Q108" s="386">
        <v>30</v>
      </c>
      <c r="R108" s="386"/>
      <c r="S108" s="386"/>
      <c r="T108" s="386"/>
      <c r="U108" s="386" t="s">
        <v>4</v>
      </c>
      <c r="V108" s="386"/>
      <c r="W108" s="386"/>
      <c r="X108" s="386">
        <f>IF(U83=2,"","20")</f>
      </c>
      <c r="Y108" s="386">
        <f>IF($AA$52=2,"","20")</f>
      </c>
      <c r="Z108" s="386"/>
      <c r="AA108" s="404">
        <v>23</v>
      </c>
      <c r="AB108" s="388">
        <v>12550</v>
      </c>
      <c r="AC108" s="433">
        <v>6675</v>
      </c>
      <c r="AD108" s="433">
        <v>6845</v>
      </c>
      <c r="AE108" s="388">
        <v>12550</v>
      </c>
      <c r="AF108" s="388">
        <v>12910</v>
      </c>
      <c r="AG108" s="388">
        <v>13270</v>
      </c>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86"/>
      <c r="BY108" s="386"/>
      <c r="BZ108" s="386"/>
      <c r="CA108" s="386"/>
      <c r="CB108" s="386"/>
      <c r="CC108" s="386"/>
      <c r="CD108" s="386"/>
      <c r="CE108" s="386"/>
      <c r="CF108" s="386"/>
      <c r="CG108" s="386"/>
      <c r="CH108" s="386"/>
      <c r="CI108" s="386"/>
      <c r="CJ108" s="386"/>
      <c r="CK108" s="386"/>
      <c r="CL108" s="386"/>
      <c r="CM108" s="386"/>
      <c r="CN108" s="386"/>
      <c r="CO108" s="386"/>
      <c r="CP108" s="386"/>
      <c r="CQ108" s="386"/>
      <c r="CR108" s="386"/>
      <c r="CS108" s="386"/>
      <c r="CT108" s="386"/>
      <c r="CU108" s="386"/>
      <c r="CV108" s="386"/>
      <c r="CW108" s="386"/>
      <c r="CX108" s="386"/>
      <c r="CY108" s="386"/>
      <c r="CZ108" s="386"/>
      <c r="DA108" s="386"/>
      <c r="DB108" s="386"/>
      <c r="DC108" s="386"/>
      <c r="DD108" s="386"/>
      <c r="DE108" s="386"/>
      <c r="DF108" s="386"/>
      <c r="DG108" s="386"/>
      <c r="DH108" s="386"/>
      <c r="DI108" s="386"/>
      <c r="DJ108" s="386"/>
      <c r="DK108" s="386"/>
      <c r="DL108" s="386"/>
      <c r="DM108" s="386"/>
      <c r="DN108" s="386"/>
      <c r="DO108" s="386"/>
      <c r="DP108" s="386"/>
      <c r="DQ108" s="386"/>
      <c r="DR108" s="386"/>
      <c r="DS108" s="386"/>
      <c r="DT108" s="386"/>
      <c r="DU108" s="386"/>
      <c r="DV108" s="386"/>
      <c r="DW108" s="386"/>
      <c r="DX108" s="386"/>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386"/>
      <c r="FA108" s="386"/>
      <c r="FB108" s="386"/>
      <c r="FC108" s="386"/>
      <c r="FD108" s="386"/>
      <c r="FE108" s="386"/>
      <c r="FF108" s="386"/>
      <c r="FG108" s="386"/>
      <c r="FH108" s="386"/>
      <c r="FI108" s="386"/>
      <c r="FJ108" s="386"/>
      <c r="FK108" s="386"/>
      <c r="FL108" s="386"/>
      <c r="FM108" s="386"/>
      <c r="FN108" s="386"/>
      <c r="FO108" s="386"/>
      <c r="FP108" s="386"/>
      <c r="FQ108" s="386"/>
      <c r="FR108" s="386"/>
      <c r="FS108" s="386"/>
      <c r="FT108" s="386"/>
      <c r="FU108" s="386"/>
      <c r="FV108" s="386"/>
      <c r="FW108" s="386"/>
      <c r="FX108" s="386"/>
      <c r="FY108" s="386"/>
      <c r="FZ108" s="386"/>
      <c r="GA108" s="386"/>
      <c r="GB108" s="386"/>
      <c r="GC108" s="386"/>
      <c r="GD108" s="386"/>
      <c r="GE108" s="386"/>
      <c r="GF108" s="386"/>
      <c r="GG108" s="386"/>
      <c r="GH108" s="386"/>
      <c r="GI108" s="386"/>
      <c r="GJ108" s="386"/>
      <c r="GK108" s="386"/>
      <c r="GL108" s="386"/>
    </row>
    <row r="109" spans="1:194" s="500" customFormat="1" ht="27.75" customHeight="1" hidden="1" thickBot="1">
      <c r="A109" s="427"/>
      <c r="B109" s="493"/>
      <c r="C109" s="493" t="str">
        <f>IF(AA52=2,CONCATENATE("No AAS Arrears"),CONCATENATE("AAS  Arrears                                           ",L102))</f>
        <v>No AAS Arrears</v>
      </c>
      <c r="D109" s="493"/>
      <c r="E109" s="493"/>
      <c r="F109" s="493"/>
      <c r="G109" s="493"/>
      <c r="H109" s="493"/>
      <c r="I109" s="493"/>
      <c r="J109" s="493"/>
      <c r="K109" s="493"/>
      <c r="L109" s="493"/>
      <c r="M109" s="493"/>
      <c r="N109" s="427"/>
      <c r="O109" s="427">
        <v>8</v>
      </c>
      <c r="P109" s="427" t="str">
        <f>IF(O101=2,"","Oct,12")</f>
        <v>Oct,12</v>
      </c>
      <c r="Q109" s="427">
        <v>31</v>
      </c>
      <c r="R109" s="427"/>
      <c r="S109" s="427"/>
      <c r="T109" s="494">
        <v>2</v>
      </c>
      <c r="U109" s="495">
        <f>VLOOKUP(T109,T110:U114,2,0)</f>
        <v>12</v>
      </c>
      <c r="V109" s="496"/>
      <c r="W109" s="427"/>
      <c r="X109" s="427">
        <f>IF(U83=2,"","21")</f>
      </c>
      <c r="Y109" s="427">
        <f>IF($AA$52=2,"","21")</f>
      </c>
      <c r="Z109" s="427"/>
      <c r="AA109" s="497">
        <v>24</v>
      </c>
      <c r="AB109" s="498">
        <v>12910</v>
      </c>
      <c r="AC109" s="499">
        <v>6845</v>
      </c>
      <c r="AD109" s="499">
        <v>7015</v>
      </c>
      <c r="AE109" s="498">
        <v>12910</v>
      </c>
      <c r="AF109" s="498">
        <v>13270</v>
      </c>
      <c r="AG109" s="498">
        <v>13660</v>
      </c>
      <c r="AH109" s="427"/>
      <c r="AI109" s="427"/>
      <c r="AJ109" s="427"/>
      <c r="AK109" s="427"/>
      <c r="AL109" s="427"/>
      <c r="AM109" s="427"/>
      <c r="AN109" s="427"/>
      <c r="AO109" s="427"/>
      <c r="AP109" s="427"/>
      <c r="AQ109" s="427"/>
      <c r="AR109" s="427"/>
      <c r="AS109" s="427"/>
      <c r="AT109" s="427"/>
      <c r="AU109" s="427"/>
      <c r="AV109" s="427"/>
      <c r="AW109" s="427"/>
      <c r="AX109" s="427"/>
      <c r="AY109" s="427"/>
      <c r="AZ109" s="427"/>
      <c r="BA109" s="427"/>
      <c r="BB109" s="427"/>
      <c r="BC109" s="427"/>
      <c r="BD109" s="427"/>
      <c r="BE109" s="427"/>
      <c r="BF109" s="427"/>
      <c r="BG109" s="427"/>
      <c r="BH109" s="427"/>
      <c r="BI109" s="427"/>
      <c r="BJ109" s="427"/>
      <c r="BK109" s="427"/>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c r="DF109" s="427"/>
      <c r="DG109" s="427"/>
      <c r="DH109" s="427"/>
      <c r="DI109" s="427"/>
      <c r="DJ109" s="427"/>
      <c r="DK109" s="427"/>
      <c r="DL109" s="427"/>
      <c r="DM109" s="427"/>
      <c r="DN109" s="427"/>
      <c r="DO109" s="427"/>
      <c r="DP109" s="427"/>
      <c r="DQ109" s="427"/>
      <c r="DR109" s="427"/>
      <c r="DS109" s="427"/>
      <c r="DT109" s="427"/>
      <c r="DU109" s="427"/>
      <c r="DV109" s="427"/>
      <c r="DW109" s="427"/>
      <c r="DX109" s="427"/>
      <c r="DY109" s="427"/>
      <c r="DZ109" s="427"/>
      <c r="EA109" s="427"/>
      <c r="EB109" s="427"/>
      <c r="EC109" s="427"/>
      <c r="ED109" s="427"/>
      <c r="EE109" s="427"/>
      <c r="EF109" s="427"/>
      <c r="EG109" s="427"/>
      <c r="EH109" s="427"/>
      <c r="EI109" s="427"/>
      <c r="EJ109" s="427"/>
      <c r="EK109" s="427"/>
      <c r="EL109" s="427"/>
      <c r="EM109" s="427"/>
      <c r="EN109" s="427"/>
      <c r="EO109" s="427"/>
      <c r="EP109" s="427"/>
      <c r="EQ109" s="427"/>
      <c r="ER109" s="427"/>
      <c r="ES109" s="427"/>
      <c r="ET109" s="427"/>
      <c r="EU109" s="427"/>
      <c r="EV109" s="427"/>
      <c r="EW109" s="427"/>
      <c r="EX109" s="427"/>
      <c r="EY109" s="427"/>
      <c r="EZ109" s="427"/>
      <c r="FA109" s="427"/>
      <c r="FB109" s="427"/>
      <c r="FC109" s="427"/>
      <c r="FD109" s="427"/>
      <c r="FE109" s="427"/>
      <c r="FF109" s="427"/>
      <c r="FG109" s="427"/>
      <c r="FH109" s="427"/>
      <c r="FI109" s="427"/>
      <c r="FJ109" s="427"/>
      <c r="FK109" s="427"/>
      <c r="FL109" s="427"/>
      <c r="FM109" s="427"/>
      <c r="FN109" s="427"/>
      <c r="FO109" s="427"/>
      <c r="FP109" s="427"/>
      <c r="FQ109" s="427"/>
      <c r="FR109" s="427"/>
      <c r="FS109" s="427"/>
      <c r="FT109" s="427"/>
      <c r="FU109" s="427"/>
      <c r="FV109" s="427"/>
      <c r="FW109" s="427"/>
      <c r="FX109" s="427"/>
      <c r="FY109" s="427"/>
      <c r="FZ109" s="427"/>
      <c r="GA109" s="427"/>
      <c r="GB109" s="427"/>
      <c r="GC109" s="427"/>
      <c r="GD109" s="427"/>
      <c r="GE109" s="427"/>
      <c r="GF109" s="427"/>
      <c r="GG109" s="427"/>
      <c r="GH109" s="427"/>
      <c r="GI109" s="427"/>
      <c r="GJ109" s="427"/>
      <c r="GK109" s="427"/>
      <c r="GL109" s="427"/>
    </row>
    <row r="110" spans="1:194" s="500" customFormat="1" ht="27.75" customHeight="1" hidden="1">
      <c r="A110" s="427"/>
      <c r="B110" s="493"/>
      <c r="C110" s="493">
        <f>ROUND(L104*(N100-N99+1)/N100,0.1)</f>
        <v>8032</v>
      </c>
      <c r="D110" s="493">
        <f>ROUND(C110*L107%,0.1)</f>
        <v>6257</v>
      </c>
      <c r="E110" s="493">
        <f>ROUND(C110*L108%,0.1)</f>
        <v>964</v>
      </c>
      <c r="F110" s="493"/>
      <c r="G110" s="493"/>
      <c r="H110" s="493"/>
      <c r="I110" s="493"/>
      <c r="J110" s="493"/>
      <c r="K110" s="493">
        <f>L104</f>
        <v>16600</v>
      </c>
      <c r="L110" s="493"/>
      <c r="M110" s="493"/>
      <c r="N110" s="427"/>
      <c r="O110" s="427">
        <v>9</v>
      </c>
      <c r="P110" s="427" t="str">
        <f>IF(O101=2,"","Nov,12")</f>
        <v>Nov,12</v>
      </c>
      <c r="Q110" s="427">
        <v>30</v>
      </c>
      <c r="R110" s="427"/>
      <c r="S110" s="427"/>
      <c r="T110" s="497">
        <v>1</v>
      </c>
      <c r="U110" s="498">
        <v>0</v>
      </c>
      <c r="V110" s="501">
        <v>0</v>
      </c>
      <c r="W110" s="427"/>
      <c r="X110" s="427">
        <f>IF(U83=2,"","22")</f>
      </c>
      <c r="Y110" s="427">
        <f>IF($AA$52=2,"","22")</f>
      </c>
      <c r="Z110" s="427"/>
      <c r="AA110" s="497">
        <v>25</v>
      </c>
      <c r="AB110" s="498">
        <v>13270</v>
      </c>
      <c r="AC110" s="499">
        <v>7015</v>
      </c>
      <c r="AD110" s="499">
        <v>7200</v>
      </c>
      <c r="AE110" s="498">
        <v>13270</v>
      </c>
      <c r="AF110" s="498">
        <v>13660</v>
      </c>
      <c r="AG110" s="498">
        <v>14050</v>
      </c>
      <c r="AH110" s="427"/>
      <c r="AI110" s="427"/>
      <c r="AJ110" s="427"/>
      <c r="AK110" s="427"/>
      <c r="AL110" s="427"/>
      <c r="AM110" s="427"/>
      <c r="AN110" s="427"/>
      <c r="AO110" s="427"/>
      <c r="AP110" s="427"/>
      <c r="AQ110" s="427"/>
      <c r="AR110" s="427"/>
      <c r="AS110" s="427"/>
      <c r="AT110" s="427"/>
      <c r="AU110" s="427"/>
      <c r="AV110" s="427"/>
      <c r="AW110" s="427"/>
      <c r="AX110" s="427"/>
      <c r="AY110" s="427"/>
      <c r="AZ110" s="427"/>
      <c r="BA110" s="427"/>
      <c r="BB110" s="427"/>
      <c r="BC110" s="427"/>
      <c r="BD110" s="427"/>
      <c r="BE110" s="427"/>
      <c r="BF110" s="427"/>
      <c r="BG110" s="427"/>
      <c r="BH110" s="427"/>
      <c r="BI110" s="427"/>
      <c r="BJ110" s="427"/>
      <c r="BK110" s="427"/>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c r="CG110" s="427"/>
      <c r="CH110" s="427"/>
      <c r="CI110" s="427"/>
      <c r="CJ110" s="427"/>
      <c r="CK110" s="427"/>
      <c r="CL110" s="427"/>
      <c r="CM110" s="427"/>
      <c r="CN110" s="427"/>
      <c r="CO110" s="427"/>
      <c r="CP110" s="427"/>
      <c r="CQ110" s="427"/>
      <c r="CR110" s="427"/>
      <c r="CS110" s="427"/>
      <c r="CT110" s="427"/>
      <c r="CU110" s="427"/>
      <c r="CV110" s="427"/>
      <c r="CW110" s="427"/>
      <c r="CX110" s="427"/>
      <c r="CY110" s="427"/>
      <c r="CZ110" s="427"/>
      <c r="DA110" s="427"/>
      <c r="DB110" s="427"/>
      <c r="DC110" s="427"/>
      <c r="DD110" s="427"/>
      <c r="DE110" s="427"/>
      <c r="DF110" s="427"/>
      <c r="DG110" s="427"/>
      <c r="DH110" s="427"/>
      <c r="DI110" s="427"/>
      <c r="DJ110" s="427"/>
      <c r="DK110" s="427"/>
      <c r="DL110" s="427"/>
      <c r="DM110" s="427"/>
      <c r="DN110" s="427"/>
      <c r="DO110" s="427"/>
      <c r="DP110" s="427"/>
      <c r="DQ110" s="427"/>
      <c r="DR110" s="427"/>
      <c r="DS110" s="427"/>
      <c r="DT110" s="427"/>
      <c r="DU110" s="427"/>
      <c r="DV110" s="427"/>
      <c r="DW110" s="427"/>
      <c r="DX110" s="427"/>
      <c r="DY110" s="427"/>
      <c r="DZ110" s="427"/>
      <c r="EA110" s="427"/>
      <c r="EB110" s="427"/>
      <c r="EC110" s="427"/>
      <c r="ED110" s="427"/>
      <c r="EE110" s="427"/>
      <c r="EF110" s="427"/>
      <c r="EG110" s="427"/>
      <c r="EH110" s="427"/>
      <c r="EI110" s="427"/>
      <c r="EJ110" s="427"/>
      <c r="EK110" s="427"/>
      <c r="EL110" s="427"/>
      <c r="EM110" s="427"/>
      <c r="EN110" s="427"/>
      <c r="EO110" s="427"/>
      <c r="EP110" s="427"/>
      <c r="EQ110" s="427"/>
      <c r="ER110" s="427"/>
      <c r="ES110" s="427"/>
      <c r="ET110" s="427"/>
      <c r="EU110" s="427"/>
      <c r="EV110" s="427"/>
      <c r="EW110" s="427"/>
      <c r="EX110" s="427"/>
      <c r="EY110" s="427"/>
      <c r="EZ110" s="427"/>
      <c r="FA110" s="427"/>
      <c r="FB110" s="427"/>
      <c r="FC110" s="427"/>
      <c r="FD110" s="427"/>
      <c r="FE110" s="427"/>
      <c r="FF110" s="427"/>
      <c r="FG110" s="427"/>
      <c r="FH110" s="427"/>
      <c r="FI110" s="427"/>
      <c r="FJ110" s="427"/>
      <c r="FK110" s="427"/>
      <c r="FL110" s="427"/>
      <c r="FM110" s="427"/>
      <c r="FN110" s="427"/>
      <c r="FO110" s="427"/>
      <c r="FP110" s="427"/>
      <c r="FQ110" s="427"/>
      <c r="FR110" s="427"/>
      <c r="FS110" s="427"/>
      <c r="FT110" s="427"/>
      <c r="FU110" s="427"/>
      <c r="FV110" s="427"/>
      <c r="FW110" s="427"/>
      <c r="FX110" s="427"/>
      <c r="FY110" s="427"/>
      <c r="FZ110" s="427"/>
      <c r="GA110" s="427"/>
      <c r="GB110" s="427"/>
      <c r="GC110" s="427"/>
      <c r="GD110" s="427"/>
      <c r="GE110" s="427"/>
      <c r="GF110" s="427"/>
      <c r="GG110" s="427"/>
      <c r="GH110" s="427"/>
      <c r="GI110" s="427"/>
      <c r="GJ110" s="427"/>
      <c r="GK110" s="427"/>
      <c r="GL110" s="427"/>
    </row>
    <row r="111" spans="1:194" s="500" customFormat="1" ht="27.75" customHeight="1" hidden="1">
      <c r="A111" s="427"/>
      <c r="B111" s="493"/>
      <c r="C111" s="493">
        <f>ROUND(L105*(N100-N99+1)/N100,0.1)</f>
        <v>8032</v>
      </c>
      <c r="D111" s="493">
        <f>ROUND(C111*L107%,0.1)</f>
        <v>6257</v>
      </c>
      <c r="E111" s="493">
        <f>ROUND(C111*L108%,0.1)</f>
        <v>964</v>
      </c>
      <c r="F111" s="493">
        <f>C111-C110</f>
        <v>0</v>
      </c>
      <c r="G111" s="493">
        <f>D111-D110</f>
        <v>0</v>
      </c>
      <c r="H111" s="493">
        <f>E111-E110</f>
        <v>0</v>
      </c>
      <c r="I111" s="493">
        <f>IF(O99&gt;10,ROUND(F111*27%,0.1),0)</f>
        <v>0</v>
      </c>
      <c r="J111" s="493"/>
      <c r="K111" s="493">
        <f>L105</f>
        <v>16600</v>
      </c>
      <c r="L111" s="493"/>
      <c r="M111" s="493"/>
      <c r="N111" s="427"/>
      <c r="O111" s="427">
        <v>10</v>
      </c>
      <c r="P111" s="427" t="str">
        <f>IF(O101=2,"","Dec,12")</f>
        <v>Dec,12</v>
      </c>
      <c r="Q111" s="427">
        <v>31</v>
      </c>
      <c r="R111" s="427"/>
      <c r="S111" s="427"/>
      <c r="T111" s="497">
        <v>2</v>
      </c>
      <c r="U111" s="498">
        <v>12</v>
      </c>
      <c r="V111" s="438" t="s">
        <v>161</v>
      </c>
      <c r="W111" s="427"/>
      <c r="X111" s="427">
        <f>IF(U83=2,"","23")</f>
      </c>
      <c r="Y111" s="427">
        <f>IF($AA$52=2,"","23")</f>
      </c>
      <c r="Z111" s="427"/>
      <c r="AA111" s="497">
        <v>26</v>
      </c>
      <c r="AB111" s="498">
        <v>13660</v>
      </c>
      <c r="AC111" s="499">
        <v>7200</v>
      </c>
      <c r="AD111" s="499">
        <v>7385</v>
      </c>
      <c r="AE111" s="498">
        <v>13660</v>
      </c>
      <c r="AF111" s="498">
        <v>14050</v>
      </c>
      <c r="AG111" s="498">
        <v>14440</v>
      </c>
      <c r="AH111" s="427"/>
      <c r="AI111" s="427"/>
      <c r="AJ111" s="427"/>
      <c r="AK111" s="427"/>
      <c r="AL111" s="427"/>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27"/>
      <c r="BJ111" s="427"/>
      <c r="BK111" s="427"/>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c r="CG111" s="427"/>
      <c r="CH111" s="427"/>
      <c r="CI111" s="427"/>
      <c r="CJ111" s="427"/>
      <c r="CK111" s="427"/>
      <c r="CL111" s="427"/>
      <c r="CM111" s="427"/>
      <c r="CN111" s="427"/>
      <c r="CO111" s="427"/>
      <c r="CP111" s="427"/>
      <c r="CQ111" s="427"/>
      <c r="CR111" s="427"/>
      <c r="CS111" s="427"/>
      <c r="CT111" s="427"/>
      <c r="CU111" s="427"/>
      <c r="CV111" s="427"/>
      <c r="CW111" s="427"/>
      <c r="CX111" s="427"/>
      <c r="CY111" s="427"/>
      <c r="CZ111" s="427"/>
      <c r="DA111" s="427"/>
      <c r="DB111" s="427"/>
      <c r="DC111" s="427"/>
      <c r="DD111" s="427"/>
      <c r="DE111" s="427"/>
      <c r="DF111" s="427"/>
      <c r="DG111" s="427"/>
      <c r="DH111" s="427"/>
      <c r="DI111" s="427"/>
      <c r="DJ111" s="427"/>
      <c r="DK111" s="427"/>
      <c r="DL111" s="427"/>
      <c r="DM111" s="427"/>
      <c r="DN111" s="427"/>
      <c r="DO111" s="427"/>
      <c r="DP111" s="427"/>
      <c r="DQ111" s="427"/>
      <c r="DR111" s="427"/>
      <c r="DS111" s="427"/>
      <c r="DT111" s="427"/>
      <c r="DU111" s="427"/>
      <c r="DV111" s="427"/>
      <c r="DW111" s="427"/>
      <c r="DX111" s="427"/>
      <c r="DY111" s="427"/>
      <c r="DZ111" s="427"/>
      <c r="EA111" s="427"/>
      <c r="EB111" s="427"/>
      <c r="EC111" s="427"/>
      <c r="ED111" s="427"/>
      <c r="EE111" s="427"/>
      <c r="EF111" s="427"/>
      <c r="EG111" s="427"/>
      <c r="EH111" s="427"/>
      <c r="EI111" s="427"/>
      <c r="EJ111" s="427"/>
      <c r="EK111" s="427"/>
      <c r="EL111" s="427"/>
      <c r="EM111" s="427"/>
      <c r="EN111" s="427"/>
      <c r="EO111" s="427"/>
      <c r="EP111" s="427"/>
      <c r="EQ111" s="427"/>
      <c r="ER111" s="427"/>
      <c r="ES111" s="427"/>
      <c r="ET111" s="427"/>
      <c r="EU111" s="427"/>
      <c r="EV111" s="427"/>
      <c r="EW111" s="427"/>
      <c r="EX111" s="427"/>
      <c r="EY111" s="427"/>
      <c r="EZ111" s="427"/>
      <c r="FA111" s="427"/>
      <c r="FB111" s="427"/>
      <c r="FC111" s="427"/>
      <c r="FD111" s="427"/>
      <c r="FE111" s="427"/>
      <c r="FF111" s="427"/>
      <c r="FG111" s="427"/>
      <c r="FH111" s="427"/>
      <c r="FI111" s="427"/>
      <c r="FJ111" s="427"/>
      <c r="FK111" s="427"/>
      <c r="FL111" s="427"/>
      <c r="FM111" s="427"/>
      <c r="FN111" s="427"/>
      <c r="FO111" s="427"/>
      <c r="FP111" s="427"/>
      <c r="FQ111" s="427"/>
      <c r="FR111" s="427"/>
      <c r="FS111" s="427"/>
      <c r="FT111" s="427"/>
      <c r="FU111" s="427"/>
      <c r="FV111" s="427"/>
      <c r="FW111" s="427"/>
      <c r="FX111" s="427"/>
      <c r="FY111" s="427"/>
      <c r="FZ111" s="427"/>
      <c r="GA111" s="427"/>
      <c r="GB111" s="427"/>
      <c r="GC111" s="427"/>
      <c r="GD111" s="427"/>
      <c r="GE111" s="427"/>
      <c r="GF111" s="427"/>
      <c r="GG111" s="427"/>
      <c r="GH111" s="427"/>
      <c r="GI111" s="427"/>
      <c r="GJ111" s="427"/>
      <c r="GK111" s="427"/>
      <c r="GL111" s="427"/>
    </row>
    <row r="112" spans="1:194" s="500" customFormat="1" ht="27.75" customHeight="1" hidden="1">
      <c r="A112" s="427"/>
      <c r="B112" s="493"/>
      <c r="C112" s="493"/>
      <c r="D112" s="493"/>
      <c r="E112" s="493"/>
      <c r="F112" s="493">
        <f>IF(AA52=2,0,F111)</f>
        <v>0</v>
      </c>
      <c r="G112" s="493">
        <f>IF(AA52=2,0,G111)</f>
        <v>0</v>
      </c>
      <c r="H112" s="493">
        <f>IF(AA52=2,0,H111)</f>
        <v>0</v>
      </c>
      <c r="I112" s="493">
        <f>IF(AB52=2,0,I111)</f>
        <v>0</v>
      </c>
      <c r="J112" s="493"/>
      <c r="K112" s="493"/>
      <c r="L112" s="493"/>
      <c r="M112" s="493"/>
      <c r="N112" s="427"/>
      <c r="O112" s="427">
        <v>11</v>
      </c>
      <c r="P112" s="427" t="str">
        <f>IF(O101=2,"","Jan,13")</f>
        <v>Jan,13</v>
      </c>
      <c r="Q112" s="427">
        <v>31</v>
      </c>
      <c r="R112" s="427"/>
      <c r="S112" s="427"/>
      <c r="T112" s="497">
        <v>3</v>
      </c>
      <c r="U112" s="498">
        <v>14.5</v>
      </c>
      <c r="V112" s="438" t="s">
        <v>514</v>
      </c>
      <c r="W112" s="427"/>
      <c r="X112" s="427">
        <f>IF(U83=2,"","24")</f>
      </c>
      <c r="Y112" s="427">
        <f>IF($AA$52=2,"","24")</f>
      </c>
      <c r="Z112" s="427"/>
      <c r="AA112" s="497">
        <v>27</v>
      </c>
      <c r="AB112" s="498">
        <v>14050</v>
      </c>
      <c r="AC112" s="499">
        <v>7385</v>
      </c>
      <c r="AD112" s="499">
        <v>7570</v>
      </c>
      <c r="AE112" s="498">
        <v>14050</v>
      </c>
      <c r="AF112" s="498">
        <v>14440</v>
      </c>
      <c r="AG112" s="498">
        <v>14860</v>
      </c>
      <c r="AH112" s="427"/>
      <c r="AI112" s="427"/>
      <c r="AJ112" s="427"/>
      <c r="AK112" s="427"/>
      <c r="AL112" s="427"/>
      <c r="AM112" s="427"/>
      <c r="AN112" s="427"/>
      <c r="AO112" s="427"/>
      <c r="AP112" s="427"/>
      <c r="AQ112" s="427"/>
      <c r="AR112" s="427"/>
      <c r="AS112" s="427"/>
      <c r="AT112" s="427"/>
      <c r="AU112" s="427"/>
      <c r="AV112" s="427"/>
      <c r="AW112" s="427"/>
      <c r="AX112" s="427"/>
      <c r="AY112" s="427"/>
      <c r="AZ112" s="427"/>
      <c r="BA112" s="427"/>
      <c r="BB112" s="427"/>
      <c r="BC112" s="427"/>
      <c r="BD112" s="427"/>
      <c r="BE112" s="427"/>
      <c r="BF112" s="427"/>
      <c r="BG112" s="427"/>
      <c r="BH112" s="427"/>
      <c r="BI112" s="427"/>
      <c r="BJ112" s="427"/>
      <c r="BK112" s="427"/>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c r="CG112" s="427"/>
      <c r="CH112" s="427"/>
      <c r="CI112" s="427"/>
      <c r="CJ112" s="427"/>
      <c r="CK112" s="427"/>
      <c r="CL112" s="427"/>
      <c r="CM112" s="427"/>
      <c r="CN112" s="427"/>
      <c r="CO112" s="427"/>
      <c r="CP112" s="427"/>
      <c r="CQ112" s="427"/>
      <c r="CR112" s="427"/>
      <c r="CS112" s="427"/>
      <c r="CT112" s="427"/>
      <c r="CU112" s="427"/>
      <c r="CV112" s="427"/>
      <c r="CW112" s="427"/>
      <c r="CX112" s="427"/>
      <c r="CY112" s="427"/>
      <c r="CZ112" s="427"/>
      <c r="DA112" s="427"/>
      <c r="DB112" s="427"/>
      <c r="DC112" s="427"/>
      <c r="DD112" s="427"/>
      <c r="DE112" s="427"/>
      <c r="DF112" s="427"/>
      <c r="DG112" s="427"/>
      <c r="DH112" s="427"/>
      <c r="DI112" s="427"/>
      <c r="DJ112" s="427"/>
      <c r="DK112" s="427"/>
      <c r="DL112" s="427"/>
      <c r="DM112" s="427"/>
      <c r="DN112" s="427"/>
      <c r="DO112" s="427"/>
      <c r="DP112" s="427"/>
      <c r="DQ112" s="427"/>
      <c r="DR112" s="427"/>
      <c r="DS112" s="427"/>
      <c r="DT112" s="427"/>
      <c r="DU112" s="427"/>
      <c r="DV112" s="427"/>
      <c r="DW112" s="427"/>
      <c r="DX112" s="427"/>
      <c r="DY112" s="427"/>
      <c r="DZ112" s="427"/>
      <c r="EA112" s="427"/>
      <c r="EB112" s="427"/>
      <c r="EC112" s="427"/>
      <c r="ED112" s="427"/>
      <c r="EE112" s="427"/>
      <c r="EF112" s="427"/>
      <c r="EG112" s="427"/>
      <c r="EH112" s="427"/>
      <c r="EI112" s="427"/>
      <c r="EJ112" s="427"/>
      <c r="EK112" s="427"/>
      <c r="EL112" s="427"/>
      <c r="EM112" s="427"/>
      <c r="EN112" s="427"/>
      <c r="EO112" s="427"/>
      <c r="EP112" s="427"/>
      <c r="EQ112" s="427"/>
      <c r="ER112" s="427"/>
      <c r="ES112" s="427"/>
      <c r="ET112" s="427"/>
      <c r="EU112" s="427"/>
      <c r="EV112" s="427"/>
      <c r="EW112" s="427"/>
      <c r="EX112" s="427"/>
      <c r="EY112" s="427"/>
      <c r="EZ112" s="427"/>
      <c r="FA112" s="427"/>
      <c r="FB112" s="427"/>
      <c r="FC112" s="427"/>
      <c r="FD112" s="427"/>
      <c r="FE112" s="427"/>
      <c r="FF112" s="427"/>
      <c r="FG112" s="427"/>
      <c r="FH112" s="427"/>
      <c r="FI112" s="427"/>
      <c r="FJ112" s="427"/>
      <c r="FK112" s="427"/>
      <c r="FL112" s="427"/>
      <c r="FM112" s="427"/>
      <c r="FN112" s="427"/>
      <c r="FO112" s="427"/>
      <c r="FP112" s="427"/>
      <c r="FQ112" s="427"/>
      <c r="FR112" s="427"/>
      <c r="FS112" s="427"/>
      <c r="FT112" s="427"/>
      <c r="FU112" s="427"/>
      <c r="FV112" s="427"/>
      <c r="FW112" s="427"/>
      <c r="FX112" s="427"/>
      <c r="FY112" s="427"/>
      <c r="FZ112" s="427"/>
      <c r="GA112" s="427"/>
      <c r="GB112" s="427"/>
      <c r="GC112" s="427"/>
      <c r="GD112" s="427"/>
      <c r="GE112" s="427"/>
      <c r="GF112" s="427"/>
      <c r="GG112" s="427"/>
      <c r="GH112" s="427"/>
      <c r="GI112" s="427"/>
      <c r="GJ112" s="427"/>
      <c r="GK112" s="427"/>
      <c r="GL112" s="427"/>
    </row>
    <row r="113" spans="1:194" s="500" customFormat="1" ht="27.75" customHeight="1" hidden="1">
      <c r="A113" s="427"/>
      <c r="B113" s="493"/>
      <c r="C113" s="493"/>
      <c r="D113" s="493"/>
      <c r="E113" s="493"/>
      <c r="F113" s="493"/>
      <c r="G113" s="493"/>
      <c r="H113" s="493">
        <f>ROUND(F111*10%,0.1)+ROUND(G111*10%,0.1)</f>
        <v>0</v>
      </c>
      <c r="I113" s="493"/>
      <c r="J113" s="493"/>
      <c r="K113" s="493"/>
      <c r="L113" s="493"/>
      <c r="M113" s="493"/>
      <c r="N113" s="427"/>
      <c r="O113" s="427">
        <v>12</v>
      </c>
      <c r="P113" s="427" t="str">
        <f>IF(O101=2,"","Feb,13")</f>
        <v>Feb,13</v>
      </c>
      <c r="Q113" s="427">
        <v>29</v>
      </c>
      <c r="R113" s="427"/>
      <c r="S113" s="427"/>
      <c r="T113" s="497">
        <v>4</v>
      </c>
      <c r="U113" s="498">
        <v>20</v>
      </c>
      <c r="V113" s="501">
        <v>20</v>
      </c>
      <c r="W113" s="427"/>
      <c r="X113" s="427">
        <f>IF(U83=2,"","25")</f>
      </c>
      <c r="Y113" s="427">
        <f>IF($AA$52=2,"","25")</f>
      </c>
      <c r="Z113" s="427"/>
      <c r="AA113" s="497">
        <v>28</v>
      </c>
      <c r="AB113" s="498">
        <v>14440</v>
      </c>
      <c r="AC113" s="499">
        <v>7570</v>
      </c>
      <c r="AD113" s="499">
        <v>7770</v>
      </c>
      <c r="AE113" s="498">
        <v>14440</v>
      </c>
      <c r="AF113" s="498">
        <v>14860</v>
      </c>
      <c r="AG113" s="498">
        <v>15280</v>
      </c>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427"/>
      <c r="BI113" s="427"/>
      <c r="BJ113" s="427"/>
      <c r="BK113" s="427"/>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c r="CG113" s="427"/>
      <c r="CH113" s="427"/>
      <c r="CI113" s="427"/>
      <c r="CJ113" s="427"/>
      <c r="CK113" s="427"/>
      <c r="CL113" s="427"/>
      <c r="CM113" s="427"/>
      <c r="CN113" s="427"/>
      <c r="CO113" s="427"/>
      <c r="CP113" s="427"/>
      <c r="CQ113" s="427"/>
      <c r="CR113" s="427"/>
      <c r="CS113" s="427"/>
      <c r="CT113" s="427"/>
      <c r="CU113" s="427"/>
      <c r="CV113" s="427"/>
      <c r="CW113" s="427"/>
      <c r="CX113" s="427"/>
      <c r="CY113" s="427"/>
      <c r="CZ113" s="427"/>
      <c r="DA113" s="427"/>
      <c r="DB113" s="427"/>
      <c r="DC113" s="427"/>
      <c r="DD113" s="427"/>
      <c r="DE113" s="427"/>
      <c r="DF113" s="427"/>
      <c r="DG113" s="427"/>
      <c r="DH113" s="427"/>
      <c r="DI113" s="427"/>
      <c r="DJ113" s="427"/>
      <c r="DK113" s="427"/>
      <c r="DL113" s="427"/>
      <c r="DM113" s="427"/>
      <c r="DN113" s="427"/>
      <c r="DO113" s="427"/>
      <c r="DP113" s="427"/>
      <c r="DQ113" s="427"/>
      <c r="DR113" s="427"/>
      <c r="DS113" s="427"/>
      <c r="DT113" s="427"/>
      <c r="DU113" s="427"/>
      <c r="DV113" s="427"/>
      <c r="DW113" s="427"/>
      <c r="DX113" s="427"/>
      <c r="DY113" s="427"/>
      <c r="DZ113" s="427"/>
      <c r="EA113" s="427"/>
      <c r="EB113" s="427"/>
      <c r="EC113" s="427"/>
      <c r="ED113" s="427"/>
      <c r="EE113" s="427"/>
      <c r="EF113" s="427"/>
      <c r="EG113" s="427"/>
      <c r="EH113" s="427"/>
      <c r="EI113" s="427"/>
      <c r="EJ113" s="427"/>
      <c r="EK113" s="427"/>
      <c r="EL113" s="427"/>
      <c r="EM113" s="427"/>
      <c r="EN113" s="427"/>
      <c r="EO113" s="427"/>
      <c r="EP113" s="427"/>
      <c r="EQ113" s="427"/>
      <c r="ER113" s="427"/>
      <c r="ES113" s="427"/>
      <c r="ET113" s="427"/>
      <c r="EU113" s="427"/>
      <c r="EV113" s="427"/>
      <c r="EW113" s="427"/>
      <c r="EX113" s="427"/>
      <c r="EY113" s="427"/>
      <c r="EZ113" s="427"/>
      <c r="FA113" s="427"/>
      <c r="FB113" s="427"/>
      <c r="FC113" s="427"/>
      <c r="FD113" s="427"/>
      <c r="FE113" s="427"/>
      <c r="FF113" s="427"/>
      <c r="FG113" s="427"/>
      <c r="FH113" s="427"/>
      <c r="FI113" s="427"/>
      <c r="FJ113" s="427"/>
      <c r="FK113" s="427"/>
      <c r="FL113" s="427"/>
      <c r="FM113" s="427"/>
      <c r="FN113" s="427"/>
      <c r="FO113" s="427"/>
      <c r="FP113" s="427"/>
      <c r="FQ113" s="427"/>
      <c r="FR113" s="427"/>
      <c r="FS113" s="427"/>
      <c r="FT113" s="427"/>
      <c r="FU113" s="427"/>
      <c r="FV113" s="427"/>
      <c r="FW113" s="427"/>
      <c r="FX113" s="427"/>
      <c r="FY113" s="427"/>
      <c r="FZ113" s="427"/>
      <c r="GA113" s="427"/>
      <c r="GB113" s="427"/>
      <c r="GC113" s="427"/>
      <c r="GD113" s="427"/>
      <c r="GE113" s="427"/>
      <c r="GF113" s="427"/>
      <c r="GG113" s="427"/>
      <c r="GH113" s="427"/>
      <c r="GI113" s="427"/>
      <c r="GJ113" s="427"/>
      <c r="GK113" s="427"/>
      <c r="GL113" s="427"/>
    </row>
    <row r="114" spans="1:194" s="500" customFormat="1" ht="27.75" customHeight="1" hidden="1">
      <c r="A114" s="427"/>
      <c r="B114" s="493"/>
      <c r="C114" s="493"/>
      <c r="D114" s="493"/>
      <c r="E114" s="493"/>
      <c r="F114" s="493"/>
      <c r="G114" s="493"/>
      <c r="H114" s="493"/>
      <c r="I114" s="493"/>
      <c r="J114" s="493"/>
      <c r="K114" s="493">
        <f>W85</f>
        <v>19</v>
      </c>
      <c r="L114" s="493">
        <f>W86</f>
        <v>1</v>
      </c>
      <c r="M114" s="493"/>
      <c r="N114" s="427"/>
      <c r="O114" s="427"/>
      <c r="P114" s="427"/>
      <c r="Q114" s="427"/>
      <c r="R114" s="427"/>
      <c r="S114" s="427"/>
      <c r="T114" s="497">
        <v>5</v>
      </c>
      <c r="U114" s="498">
        <v>30</v>
      </c>
      <c r="V114" s="501">
        <v>30</v>
      </c>
      <c r="W114" s="427"/>
      <c r="X114" s="427">
        <f>IF(U83=2,"","26")</f>
      </c>
      <c r="Y114" s="427">
        <f>IF($AA$52=2,"","26")</f>
      </c>
      <c r="Z114" s="427"/>
      <c r="AA114" s="497">
        <v>29</v>
      </c>
      <c r="AB114" s="498">
        <v>14860</v>
      </c>
      <c r="AC114" s="499">
        <v>7770</v>
      </c>
      <c r="AD114" s="499">
        <v>7970</v>
      </c>
      <c r="AE114" s="498">
        <v>14860</v>
      </c>
      <c r="AF114" s="498">
        <v>15280</v>
      </c>
      <c r="AG114" s="498">
        <v>15700</v>
      </c>
      <c r="AH114" s="427"/>
      <c r="AI114" s="427"/>
      <c r="AJ114" s="427"/>
      <c r="AK114" s="427"/>
      <c r="AL114" s="427"/>
      <c r="AM114" s="427"/>
      <c r="AN114" s="427"/>
      <c r="AO114" s="427"/>
      <c r="AP114" s="427"/>
      <c r="AQ114" s="427"/>
      <c r="AR114" s="427"/>
      <c r="AS114" s="427"/>
      <c r="AT114" s="427"/>
      <c r="AU114" s="427"/>
      <c r="AV114" s="427"/>
      <c r="AW114" s="427"/>
      <c r="AX114" s="427"/>
      <c r="AY114" s="427"/>
      <c r="AZ114" s="427"/>
      <c r="BA114" s="427"/>
      <c r="BB114" s="427"/>
      <c r="BC114" s="427"/>
      <c r="BD114" s="427"/>
      <c r="BE114" s="427"/>
      <c r="BF114" s="427"/>
      <c r="BG114" s="427"/>
      <c r="BH114" s="427"/>
      <c r="BI114" s="427"/>
      <c r="BJ114" s="427"/>
      <c r="BK114" s="427"/>
      <c r="BL114" s="427"/>
      <c r="BM114" s="427"/>
      <c r="BN114" s="427"/>
      <c r="BO114" s="427"/>
      <c r="BP114" s="427"/>
      <c r="BQ114" s="427"/>
      <c r="BR114" s="427"/>
      <c r="BS114" s="427"/>
      <c r="BT114" s="427"/>
      <c r="BU114" s="427"/>
      <c r="BV114" s="427"/>
      <c r="BW114" s="427"/>
      <c r="BX114" s="427"/>
      <c r="BY114" s="427"/>
      <c r="BZ114" s="427"/>
      <c r="CA114" s="427"/>
      <c r="CB114" s="427"/>
      <c r="CC114" s="427"/>
      <c r="CD114" s="427"/>
      <c r="CE114" s="427"/>
      <c r="CF114" s="427"/>
      <c r="CG114" s="427"/>
      <c r="CH114" s="427"/>
      <c r="CI114" s="427"/>
      <c r="CJ114" s="427"/>
      <c r="CK114" s="427"/>
      <c r="CL114" s="427"/>
      <c r="CM114" s="427"/>
      <c r="CN114" s="427"/>
      <c r="CO114" s="427"/>
      <c r="CP114" s="427"/>
      <c r="CQ114" s="427"/>
      <c r="CR114" s="427"/>
      <c r="CS114" s="427"/>
      <c r="CT114" s="427"/>
      <c r="CU114" s="427"/>
      <c r="CV114" s="427"/>
      <c r="CW114" s="427"/>
      <c r="CX114" s="427"/>
      <c r="CY114" s="427"/>
      <c r="CZ114" s="427"/>
      <c r="DA114" s="427"/>
      <c r="DB114" s="427"/>
      <c r="DC114" s="427"/>
      <c r="DD114" s="427"/>
      <c r="DE114" s="427"/>
      <c r="DF114" s="427"/>
      <c r="DG114" s="427"/>
      <c r="DH114" s="427"/>
      <c r="DI114" s="427"/>
      <c r="DJ114" s="427"/>
      <c r="DK114" s="427"/>
      <c r="DL114" s="427"/>
      <c r="DM114" s="427"/>
      <c r="DN114" s="427"/>
      <c r="DO114" s="427"/>
      <c r="DP114" s="427"/>
      <c r="DQ114" s="427"/>
      <c r="DR114" s="427"/>
      <c r="DS114" s="427"/>
      <c r="DT114" s="427"/>
      <c r="DU114" s="427"/>
      <c r="DV114" s="427"/>
      <c r="DW114" s="427"/>
      <c r="DX114" s="427"/>
      <c r="DY114" s="427"/>
      <c r="DZ114" s="427"/>
      <c r="EA114" s="427"/>
      <c r="EB114" s="427"/>
      <c r="EC114" s="427"/>
      <c r="ED114" s="427"/>
      <c r="EE114" s="427"/>
      <c r="EF114" s="427"/>
      <c r="EG114" s="427"/>
      <c r="EH114" s="427"/>
      <c r="EI114" s="427"/>
      <c r="EJ114" s="427"/>
      <c r="EK114" s="427"/>
      <c r="EL114" s="427"/>
      <c r="EM114" s="427"/>
      <c r="EN114" s="427"/>
      <c r="EO114" s="427"/>
      <c r="EP114" s="427"/>
      <c r="EQ114" s="427"/>
      <c r="ER114" s="427"/>
      <c r="ES114" s="427"/>
      <c r="ET114" s="427"/>
      <c r="EU114" s="427"/>
      <c r="EV114" s="427"/>
      <c r="EW114" s="427"/>
      <c r="EX114" s="427"/>
      <c r="EY114" s="427"/>
      <c r="EZ114" s="427"/>
      <c r="FA114" s="427"/>
      <c r="FB114" s="427"/>
      <c r="FC114" s="427"/>
      <c r="FD114" s="427"/>
      <c r="FE114" s="427"/>
      <c r="FF114" s="427"/>
      <c r="FG114" s="427"/>
      <c r="FH114" s="427"/>
      <c r="FI114" s="427"/>
      <c r="FJ114" s="427"/>
      <c r="FK114" s="427"/>
      <c r="FL114" s="427"/>
      <c r="FM114" s="427"/>
      <c r="FN114" s="427"/>
      <c r="FO114" s="427"/>
      <c r="FP114" s="427"/>
      <c r="FQ114" s="427"/>
      <c r="FR114" s="427"/>
      <c r="FS114" s="427"/>
      <c r="FT114" s="427"/>
      <c r="FU114" s="427"/>
      <c r="FV114" s="427"/>
      <c r="FW114" s="427"/>
      <c r="FX114" s="427"/>
      <c r="FY114" s="427"/>
      <c r="FZ114" s="427"/>
      <c r="GA114" s="427"/>
      <c r="GB114" s="427"/>
      <c r="GC114" s="427"/>
      <c r="GD114" s="427"/>
      <c r="GE114" s="427"/>
      <c r="GF114" s="427"/>
      <c r="GG114" s="427"/>
      <c r="GH114" s="427"/>
      <c r="GI114" s="427"/>
      <c r="GJ114" s="427"/>
      <c r="GK114" s="427"/>
      <c r="GL114" s="427"/>
    </row>
    <row r="115" spans="1:194" s="500" customFormat="1" ht="27.75" customHeight="1" hidden="1" thickBot="1">
      <c r="A115" s="427"/>
      <c r="B115" s="493"/>
      <c r="C115" s="493"/>
      <c r="D115" s="493"/>
      <c r="E115" s="493"/>
      <c r="F115" s="493"/>
      <c r="G115" s="493"/>
      <c r="H115" s="493"/>
      <c r="I115" s="493"/>
      <c r="J115" s="493"/>
      <c r="K115" s="493">
        <f>VLOOKUP(L114,O102:Q113,3,0)</f>
        <v>31</v>
      </c>
      <c r="L115" s="493" t="str">
        <f>VLOOKUP(L114+1,AA58:AC70,3,0)</f>
        <v>03</v>
      </c>
      <c r="M115" s="493">
        <f>IF(W86&gt;10,2014,2013)</f>
        <v>2013</v>
      </c>
      <c r="N115" s="427"/>
      <c r="O115" s="427"/>
      <c r="P115" s="427"/>
      <c r="Q115" s="427"/>
      <c r="R115" s="427"/>
      <c r="S115" s="427"/>
      <c r="T115" s="497"/>
      <c r="U115" s="498"/>
      <c r="V115" s="501"/>
      <c r="W115" s="427"/>
      <c r="X115" s="427">
        <f>IF(U83=2,"","27")</f>
      </c>
      <c r="Y115" s="427">
        <f>IF($AA$52=2,"","27")</f>
      </c>
      <c r="Z115" s="427"/>
      <c r="AA115" s="497">
        <v>30</v>
      </c>
      <c r="AB115" s="498">
        <v>15280</v>
      </c>
      <c r="AC115" s="499">
        <v>7970</v>
      </c>
      <c r="AD115" s="499">
        <v>8170</v>
      </c>
      <c r="AE115" s="498">
        <v>15280</v>
      </c>
      <c r="AF115" s="498">
        <v>15700</v>
      </c>
      <c r="AG115" s="498">
        <v>16150</v>
      </c>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c r="CG115" s="427"/>
      <c r="CH115" s="427"/>
      <c r="CI115" s="427"/>
      <c r="CJ115" s="427"/>
      <c r="CK115" s="427"/>
      <c r="CL115" s="427"/>
      <c r="CM115" s="427"/>
      <c r="CN115" s="427"/>
      <c r="CO115" s="427"/>
      <c r="CP115" s="427"/>
      <c r="CQ115" s="427"/>
      <c r="CR115" s="427"/>
      <c r="CS115" s="427"/>
      <c r="CT115" s="427"/>
      <c r="CU115" s="427"/>
      <c r="CV115" s="427"/>
      <c r="CW115" s="427"/>
      <c r="CX115" s="427"/>
      <c r="CY115" s="427"/>
      <c r="CZ115" s="427"/>
      <c r="DA115" s="427"/>
      <c r="DB115" s="427"/>
      <c r="DC115" s="427"/>
      <c r="DD115" s="427"/>
      <c r="DE115" s="427"/>
      <c r="DF115" s="427"/>
      <c r="DG115" s="427"/>
      <c r="DH115" s="427"/>
      <c r="DI115" s="427"/>
      <c r="DJ115" s="427"/>
      <c r="DK115" s="427"/>
      <c r="DL115" s="427"/>
      <c r="DM115" s="427"/>
      <c r="DN115" s="427"/>
      <c r="DO115" s="427"/>
      <c r="DP115" s="427"/>
      <c r="DQ115" s="427"/>
      <c r="DR115" s="427"/>
      <c r="DS115" s="427"/>
      <c r="DT115" s="427"/>
      <c r="DU115" s="427"/>
      <c r="DV115" s="427"/>
      <c r="DW115" s="427"/>
      <c r="DX115" s="427"/>
      <c r="DY115" s="427"/>
      <c r="DZ115" s="427"/>
      <c r="EA115" s="427"/>
      <c r="EB115" s="427"/>
      <c r="EC115" s="427"/>
      <c r="ED115" s="427"/>
      <c r="EE115" s="427"/>
      <c r="EF115" s="427"/>
      <c r="EG115" s="427"/>
      <c r="EH115" s="427"/>
      <c r="EI115" s="427"/>
      <c r="EJ115" s="427"/>
      <c r="EK115" s="427"/>
      <c r="EL115" s="427"/>
      <c r="EM115" s="427"/>
      <c r="EN115" s="427"/>
      <c r="EO115" s="427"/>
      <c r="EP115" s="427"/>
      <c r="EQ115" s="427"/>
      <c r="ER115" s="427"/>
      <c r="ES115" s="427"/>
      <c r="ET115" s="427"/>
      <c r="EU115" s="427"/>
      <c r="EV115" s="427"/>
      <c r="EW115" s="427"/>
      <c r="EX115" s="427"/>
      <c r="EY115" s="427"/>
      <c r="EZ115" s="427"/>
      <c r="FA115" s="427"/>
      <c r="FB115" s="427"/>
      <c r="FC115" s="427"/>
      <c r="FD115" s="427"/>
      <c r="FE115" s="427"/>
      <c r="FF115" s="427"/>
      <c r="FG115" s="427"/>
      <c r="FH115" s="427"/>
      <c r="FI115" s="427"/>
      <c r="FJ115" s="427"/>
      <c r="FK115" s="427"/>
      <c r="FL115" s="427"/>
      <c r="FM115" s="427"/>
      <c r="FN115" s="427"/>
      <c r="FO115" s="427"/>
      <c r="FP115" s="427"/>
      <c r="FQ115" s="427"/>
      <c r="FR115" s="427"/>
      <c r="FS115" s="427"/>
      <c r="FT115" s="427"/>
      <c r="FU115" s="427"/>
      <c r="FV115" s="427"/>
      <c r="FW115" s="427"/>
      <c r="FX115" s="427"/>
      <c r="FY115" s="427"/>
      <c r="FZ115" s="427"/>
      <c r="GA115" s="427"/>
      <c r="GB115" s="427"/>
      <c r="GC115" s="427"/>
      <c r="GD115" s="427"/>
      <c r="GE115" s="427"/>
      <c r="GF115" s="427"/>
      <c r="GG115" s="427"/>
      <c r="GH115" s="427"/>
      <c r="GI115" s="427"/>
      <c r="GJ115" s="427"/>
      <c r="GK115" s="427"/>
      <c r="GL115" s="427"/>
    </row>
    <row r="116" spans="1:194" s="500" customFormat="1" ht="27.75" customHeight="1" hidden="1" thickBot="1">
      <c r="A116" s="427"/>
      <c r="B116" s="493"/>
      <c r="C116" s="493"/>
      <c r="D116" s="493"/>
      <c r="E116" s="493"/>
      <c r="F116" s="493"/>
      <c r="G116" s="493"/>
      <c r="H116" s="493"/>
      <c r="I116" s="493"/>
      <c r="J116" s="493"/>
      <c r="K116" s="493"/>
      <c r="L116" s="493"/>
      <c r="M116" s="493"/>
      <c r="N116" s="427"/>
      <c r="O116" s="427"/>
      <c r="P116" s="427"/>
      <c r="Q116" s="427"/>
      <c r="R116" s="427"/>
      <c r="S116" s="427"/>
      <c r="T116" s="494">
        <v>1</v>
      </c>
      <c r="U116" s="495" t="str">
        <f>VLOOKUP(T116,AA34:AB45,2,0)</f>
        <v>No Change</v>
      </c>
      <c r="V116" s="501"/>
      <c r="W116" s="427"/>
      <c r="X116" s="427">
        <f>IF(U83=2,"","28")</f>
      </c>
      <c r="Y116" s="427">
        <f>IF($AA$52=2,"","28")</f>
      </c>
      <c r="Z116" s="427"/>
      <c r="AA116" s="497">
        <v>31</v>
      </c>
      <c r="AB116" s="498">
        <v>15700</v>
      </c>
      <c r="AC116" s="499">
        <v>8170</v>
      </c>
      <c r="AD116" s="499">
        <v>8385</v>
      </c>
      <c r="AE116" s="498">
        <v>15700</v>
      </c>
      <c r="AF116" s="498">
        <v>16150</v>
      </c>
      <c r="AG116" s="498">
        <v>16600</v>
      </c>
      <c r="AH116" s="427"/>
      <c r="AI116" s="427"/>
      <c r="AJ116" s="427"/>
      <c r="AK116" s="427"/>
      <c r="AL116" s="427"/>
      <c r="AM116" s="427"/>
      <c r="AN116" s="427"/>
      <c r="AO116" s="427"/>
      <c r="AP116" s="427"/>
      <c r="AQ116" s="427"/>
      <c r="AR116" s="427"/>
      <c r="AS116" s="427"/>
      <c r="AT116" s="427"/>
      <c r="AU116" s="427"/>
      <c r="AV116" s="427"/>
      <c r="AW116" s="427"/>
      <c r="AX116" s="427"/>
      <c r="AY116" s="427"/>
      <c r="AZ116" s="427"/>
      <c r="BA116" s="427"/>
      <c r="BB116" s="427"/>
      <c r="BC116" s="427"/>
      <c r="BD116" s="427"/>
      <c r="BE116" s="427"/>
      <c r="BF116" s="427"/>
      <c r="BG116" s="427"/>
      <c r="BH116" s="427"/>
      <c r="BI116" s="427"/>
      <c r="BJ116" s="427"/>
      <c r="BK116" s="427"/>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c r="CG116" s="427"/>
      <c r="CH116" s="427"/>
      <c r="CI116" s="427"/>
      <c r="CJ116" s="427"/>
      <c r="CK116" s="427"/>
      <c r="CL116" s="427"/>
      <c r="CM116" s="427"/>
      <c r="CN116" s="427"/>
      <c r="CO116" s="427"/>
      <c r="CP116" s="427"/>
      <c r="CQ116" s="427"/>
      <c r="CR116" s="427"/>
      <c r="CS116" s="427"/>
      <c r="CT116" s="427"/>
      <c r="CU116" s="427"/>
      <c r="CV116" s="427"/>
      <c r="CW116" s="427"/>
      <c r="CX116" s="427"/>
      <c r="CY116" s="427"/>
      <c r="CZ116" s="427"/>
      <c r="DA116" s="427"/>
      <c r="DB116" s="427"/>
      <c r="DC116" s="427"/>
      <c r="DD116" s="427"/>
      <c r="DE116" s="427"/>
      <c r="DF116" s="427"/>
      <c r="DG116" s="427"/>
      <c r="DH116" s="427"/>
      <c r="DI116" s="427"/>
      <c r="DJ116" s="427"/>
      <c r="DK116" s="427"/>
      <c r="DL116" s="427"/>
      <c r="DM116" s="427"/>
      <c r="DN116" s="427"/>
      <c r="DO116" s="427"/>
      <c r="DP116" s="427"/>
      <c r="DQ116" s="427"/>
      <c r="DR116" s="427"/>
      <c r="DS116" s="427"/>
      <c r="DT116" s="427"/>
      <c r="DU116" s="427"/>
      <c r="DV116" s="427"/>
      <c r="DW116" s="427"/>
      <c r="DX116" s="427"/>
      <c r="DY116" s="427"/>
      <c r="DZ116" s="427"/>
      <c r="EA116" s="427"/>
      <c r="EB116" s="427"/>
      <c r="EC116" s="427"/>
      <c r="ED116" s="427"/>
      <c r="EE116" s="427"/>
      <c r="EF116" s="427"/>
      <c r="EG116" s="427"/>
      <c r="EH116" s="427"/>
      <c r="EI116" s="427"/>
      <c r="EJ116" s="427"/>
      <c r="EK116" s="427"/>
      <c r="EL116" s="427"/>
      <c r="EM116" s="427"/>
      <c r="EN116" s="427"/>
      <c r="EO116" s="427"/>
      <c r="EP116" s="427"/>
      <c r="EQ116" s="427"/>
      <c r="ER116" s="427"/>
      <c r="ES116" s="427"/>
      <c r="ET116" s="427"/>
      <c r="EU116" s="427"/>
      <c r="EV116" s="427"/>
      <c r="EW116" s="427"/>
      <c r="EX116" s="427"/>
      <c r="EY116" s="427"/>
      <c r="EZ116" s="427"/>
      <c r="FA116" s="427"/>
      <c r="FB116" s="427"/>
      <c r="FC116" s="427"/>
      <c r="FD116" s="427"/>
      <c r="FE116" s="427"/>
      <c r="FF116" s="427"/>
      <c r="FG116" s="427"/>
      <c r="FH116" s="427"/>
      <c r="FI116" s="427"/>
      <c r="FJ116" s="427"/>
      <c r="FK116" s="427"/>
      <c r="FL116" s="427"/>
      <c r="FM116" s="427"/>
      <c r="FN116" s="427"/>
      <c r="FO116" s="427"/>
      <c r="FP116" s="427"/>
      <c r="FQ116" s="427"/>
      <c r="FR116" s="427"/>
      <c r="FS116" s="427"/>
      <c r="FT116" s="427"/>
      <c r="FU116" s="427"/>
      <c r="FV116" s="427"/>
      <c r="FW116" s="427"/>
      <c r="FX116" s="427"/>
      <c r="FY116" s="427"/>
      <c r="FZ116" s="427"/>
      <c r="GA116" s="427"/>
      <c r="GB116" s="427"/>
      <c r="GC116" s="427"/>
      <c r="GD116" s="427"/>
      <c r="GE116" s="427"/>
      <c r="GF116" s="427"/>
      <c r="GG116" s="427"/>
      <c r="GH116" s="427"/>
      <c r="GI116" s="427"/>
      <c r="GJ116" s="427"/>
      <c r="GK116" s="427"/>
      <c r="GL116" s="427"/>
    </row>
    <row r="117" spans="1:194" s="500" customFormat="1" ht="27.75" customHeight="1" hidden="1">
      <c r="A117" s="427"/>
      <c r="B117" s="493"/>
      <c r="C117" s="493" t="str">
        <f>IF(U83=2,CONCATENATE("No Promotion "),CONCATENATE("Promotion Arrears                                           ",I117))</f>
        <v>No Promotion </v>
      </c>
      <c r="D117" s="493"/>
      <c r="E117" s="493"/>
      <c r="F117" s="493"/>
      <c r="G117" s="493"/>
      <c r="H117" s="493"/>
      <c r="I117" s="493" t="str">
        <f>CONCATENATE(K114,"-",K115,"/",L115,"/",M115)</f>
        <v>19-31/03/2013</v>
      </c>
      <c r="J117" s="493"/>
      <c r="K117" s="493"/>
      <c r="L117" s="493"/>
      <c r="M117" s="493"/>
      <c r="N117" s="427"/>
      <c r="O117" s="427"/>
      <c r="P117" s="427"/>
      <c r="Q117" s="427"/>
      <c r="R117" s="427"/>
      <c r="S117" s="427"/>
      <c r="T117" s="497">
        <v>1</v>
      </c>
      <c r="U117" s="498">
        <f>VLOOKUP(T117,T110:U114,2,)</f>
        <v>0</v>
      </c>
      <c r="V117" s="501"/>
      <c r="W117" s="427"/>
      <c r="X117" s="427">
        <f>IF(U83=2,"","29")</f>
      </c>
      <c r="Y117" s="427">
        <f>IF($AA$52=2,"","29")</f>
      </c>
      <c r="Z117" s="427"/>
      <c r="AA117" s="497">
        <v>32</v>
      </c>
      <c r="AB117" s="498">
        <v>16150</v>
      </c>
      <c r="AC117" s="499">
        <v>8385</v>
      </c>
      <c r="AD117" s="499">
        <v>8600</v>
      </c>
      <c r="AE117" s="498">
        <v>16150</v>
      </c>
      <c r="AF117" s="498">
        <v>16600</v>
      </c>
      <c r="AG117" s="498">
        <v>17050</v>
      </c>
      <c r="AH117" s="427"/>
      <c r="AI117" s="427"/>
      <c r="AJ117" s="427"/>
      <c r="AK117" s="427"/>
      <c r="AL117" s="427"/>
      <c r="AM117" s="427"/>
      <c r="AN117" s="427"/>
      <c r="AO117" s="427"/>
      <c r="AP117" s="427"/>
      <c r="AQ117" s="427"/>
      <c r="AR117" s="427"/>
      <c r="AS117" s="427"/>
      <c r="AT117" s="427"/>
      <c r="AU117" s="427"/>
      <c r="AV117" s="427"/>
      <c r="AW117" s="427"/>
      <c r="AX117" s="427"/>
      <c r="AY117" s="427"/>
      <c r="AZ117" s="427"/>
      <c r="BA117" s="427"/>
      <c r="BB117" s="427"/>
      <c r="BC117" s="427"/>
      <c r="BD117" s="427"/>
      <c r="BE117" s="427"/>
      <c r="BF117" s="427"/>
      <c r="BG117" s="427"/>
      <c r="BH117" s="427"/>
      <c r="BI117" s="427"/>
      <c r="BJ117" s="427"/>
      <c r="BK117" s="427"/>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c r="CG117" s="427"/>
      <c r="CH117" s="427"/>
      <c r="CI117" s="427"/>
      <c r="CJ117" s="427"/>
      <c r="CK117" s="427"/>
      <c r="CL117" s="427"/>
      <c r="CM117" s="427"/>
      <c r="CN117" s="427"/>
      <c r="CO117" s="427"/>
      <c r="CP117" s="427"/>
      <c r="CQ117" s="427"/>
      <c r="CR117" s="427"/>
      <c r="CS117" s="427"/>
      <c r="CT117" s="427"/>
      <c r="CU117" s="427"/>
      <c r="CV117" s="427"/>
      <c r="CW117" s="427"/>
      <c r="CX117" s="427"/>
      <c r="CY117" s="427"/>
      <c r="CZ117" s="427"/>
      <c r="DA117" s="427"/>
      <c r="DB117" s="427"/>
      <c r="DC117" s="427"/>
      <c r="DD117" s="427"/>
      <c r="DE117" s="427"/>
      <c r="DF117" s="427"/>
      <c r="DG117" s="427"/>
      <c r="DH117" s="427"/>
      <c r="DI117" s="427"/>
      <c r="DJ117" s="427"/>
      <c r="DK117" s="427"/>
      <c r="DL117" s="427"/>
      <c r="DM117" s="427"/>
      <c r="DN117" s="427"/>
      <c r="DO117" s="427"/>
      <c r="DP117" s="427"/>
      <c r="DQ117" s="427"/>
      <c r="DR117" s="427"/>
      <c r="DS117" s="427"/>
      <c r="DT117" s="427"/>
      <c r="DU117" s="427"/>
      <c r="DV117" s="427"/>
      <c r="DW117" s="427"/>
      <c r="DX117" s="427"/>
      <c r="DY117" s="427"/>
      <c r="DZ117" s="427"/>
      <c r="EA117" s="427"/>
      <c r="EB117" s="427"/>
      <c r="EC117" s="427"/>
      <c r="ED117" s="427"/>
      <c r="EE117" s="427"/>
      <c r="EF117" s="427"/>
      <c r="EG117" s="427"/>
      <c r="EH117" s="427"/>
      <c r="EI117" s="427"/>
      <c r="EJ117" s="427"/>
      <c r="EK117" s="427"/>
      <c r="EL117" s="427"/>
      <c r="EM117" s="427"/>
      <c r="EN117" s="427"/>
      <c r="EO117" s="427"/>
      <c r="EP117" s="427"/>
      <c r="EQ117" s="427"/>
      <c r="ER117" s="427"/>
      <c r="ES117" s="427"/>
      <c r="ET117" s="427"/>
      <c r="EU117" s="427"/>
      <c r="EV117" s="427"/>
      <c r="EW117" s="427"/>
      <c r="EX117" s="427"/>
      <c r="EY117" s="427"/>
      <c r="EZ117" s="427"/>
      <c r="FA117" s="427"/>
      <c r="FB117" s="427"/>
      <c r="FC117" s="427"/>
      <c r="FD117" s="427"/>
      <c r="FE117" s="427"/>
      <c r="FF117" s="427"/>
      <c r="FG117" s="427"/>
      <c r="FH117" s="427"/>
      <c r="FI117" s="427"/>
      <c r="FJ117" s="427"/>
      <c r="FK117" s="427"/>
      <c r="FL117" s="427"/>
      <c r="FM117" s="427"/>
      <c r="FN117" s="427"/>
      <c r="FO117" s="427"/>
      <c r="FP117" s="427"/>
      <c r="FQ117" s="427"/>
      <c r="FR117" s="427"/>
      <c r="FS117" s="427"/>
      <c r="FT117" s="427"/>
      <c r="FU117" s="427"/>
      <c r="FV117" s="427"/>
      <c r="FW117" s="427"/>
      <c r="FX117" s="427"/>
      <c r="FY117" s="427"/>
      <c r="FZ117" s="427"/>
      <c r="GA117" s="427"/>
      <c r="GB117" s="427"/>
      <c r="GC117" s="427"/>
      <c r="GD117" s="427"/>
      <c r="GE117" s="427"/>
      <c r="GF117" s="427"/>
      <c r="GG117" s="427"/>
      <c r="GH117" s="427"/>
      <c r="GI117" s="427"/>
      <c r="GJ117" s="427"/>
      <c r="GK117" s="427"/>
      <c r="GL117" s="427"/>
    </row>
    <row r="118" spans="1:194" s="500" customFormat="1" ht="27.75" customHeight="1" hidden="1">
      <c r="A118" s="427"/>
      <c r="B118" s="493"/>
      <c r="C118" s="493">
        <f>ROUND(K118*(K115-K114+1)/K115,0.1)</f>
        <v>6773</v>
      </c>
      <c r="D118" s="493">
        <f>ROUND(C118*L118%,0.1)</f>
        <v>4290</v>
      </c>
      <c r="E118" s="493">
        <f>ROUND(C118*L119%,0.1)</f>
        <v>813</v>
      </c>
      <c r="F118" s="493"/>
      <c r="G118" s="493"/>
      <c r="H118" s="493"/>
      <c r="I118" s="493"/>
      <c r="J118" s="493"/>
      <c r="K118" s="493">
        <f>VLOOKUP(L114+1,AN23:AP34,3,0)</f>
        <v>16150</v>
      </c>
      <c r="L118" s="469">
        <f>VLOOKUP(L114+1,AN23:AQ34,4,0)</f>
        <v>63.344</v>
      </c>
      <c r="M118" s="493"/>
      <c r="N118" s="427"/>
      <c r="O118" s="427"/>
      <c r="P118" s="427"/>
      <c r="Q118" s="427"/>
      <c r="R118" s="427"/>
      <c r="S118" s="427"/>
      <c r="T118" s="497"/>
      <c r="U118" s="498"/>
      <c r="V118" s="501"/>
      <c r="W118" s="427"/>
      <c r="X118" s="427">
        <f>IF(U83=2,"","30")</f>
      </c>
      <c r="Y118" s="427">
        <f>IF($AA$52=2,"","30")</f>
      </c>
      <c r="Z118" s="427"/>
      <c r="AA118" s="497">
        <v>33</v>
      </c>
      <c r="AB118" s="498">
        <v>16600</v>
      </c>
      <c r="AC118" s="499">
        <v>8600</v>
      </c>
      <c r="AD118" s="499">
        <v>8815</v>
      </c>
      <c r="AE118" s="498">
        <v>16600</v>
      </c>
      <c r="AF118" s="498">
        <v>17050</v>
      </c>
      <c r="AG118" s="498">
        <v>17540</v>
      </c>
      <c r="AH118" s="427"/>
      <c r="AI118" s="427"/>
      <c r="AJ118" s="427"/>
      <c r="AK118" s="427"/>
      <c r="AL118" s="427"/>
      <c r="AM118" s="427"/>
      <c r="AN118" s="427"/>
      <c r="AO118" s="427"/>
      <c r="AP118" s="427"/>
      <c r="AQ118" s="427"/>
      <c r="AR118" s="427"/>
      <c r="AS118" s="427"/>
      <c r="AT118" s="427"/>
      <c r="AU118" s="427"/>
      <c r="AV118" s="427"/>
      <c r="AW118" s="427"/>
      <c r="AX118" s="427"/>
      <c r="AY118" s="427"/>
      <c r="AZ118" s="427"/>
      <c r="BA118" s="427"/>
      <c r="BB118" s="427"/>
      <c r="BC118" s="427"/>
      <c r="BD118" s="427"/>
      <c r="BE118" s="427"/>
      <c r="BF118" s="427"/>
      <c r="BG118" s="427"/>
      <c r="BH118" s="427"/>
      <c r="BI118" s="427"/>
      <c r="BJ118" s="427"/>
      <c r="BK118" s="427"/>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c r="CG118" s="427"/>
      <c r="CH118" s="427"/>
      <c r="CI118" s="427"/>
      <c r="CJ118" s="427"/>
      <c r="CK118" s="427"/>
      <c r="CL118" s="427"/>
      <c r="CM118" s="427"/>
      <c r="CN118" s="427"/>
      <c r="CO118" s="427"/>
      <c r="CP118" s="427"/>
      <c r="CQ118" s="427"/>
      <c r="CR118" s="427"/>
      <c r="CS118" s="427"/>
      <c r="CT118" s="427"/>
      <c r="CU118" s="427"/>
      <c r="CV118" s="427"/>
      <c r="CW118" s="427"/>
      <c r="CX118" s="427"/>
      <c r="CY118" s="427"/>
      <c r="CZ118" s="427"/>
      <c r="DA118" s="427"/>
      <c r="DB118" s="427"/>
      <c r="DC118" s="427"/>
      <c r="DD118" s="427"/>
      <c r="DE118" s="427"/>
      <c r="DF118" s="427"/>
      <c r="DG118" s="427"/>
      <c r="DH118" s="427"/>
      <c r="DI118" s="427"/>
      <c r="DJ118" s="427"/>
      <c r="DK118" s="427"/>
      <c r="DL118" s="427"/>
      <c r="DM118" s="427"/>
      <c r="DN118" s="427"/>
      <c r="DO118" s="427"/>
      <c r="DP118" s="427"/>
      <c r="DQ118" s="427"/>
      <c r="DR118" s="427"/>
      <c r="DS118" s="427"/>
      <c r="DT118" s="427"/>
      <c r="DU118" s="427"/>
      <c r="DV118" s="427"/>
      <c r="DW118" s="427"/>
      <c r="DX118" s="427"/>
      <c r="DY118" s="427"/>
      <c r="DZ118" s="427"/>
      <c r="EA118" s="427"/>
      <c r="EB118" s="427"/>
      <c r="EC118" s="427"/>
      <c r="ED118" s="427"/>
      <c r="EE118" s="427"/>
      <c r="EF118" s="427"/>
      <c r="EG118" s="427"/>
      <c r="EH118" s="427"/>
      <c r="EI118" s="427"/>
      <c r="EJ118" s="427"/>
      <c r="EK118" s="427"/>
      <c r="EL118" s="427"/>
      <c r="EM118" s="427"/>
      <c r="EN118" s="427"/>
      <c r="EO118" s="427"/>
      <c r="EP118" s="427"/>
      <c r="EQ118" s="427"/>
      <c r="ER118" s="427"/>
      <c r="ES118" s="427"/>
      <c r="ET118" s="427"/>
      <c r="EU118" s="427"/>
      <c r="EV118" s="427"/>
      <c r="EW118" s="427"/>
      <c r="EX118" s="427"/>
      <c r="EY118" s="427"/>
      <c r="EZ118" s="427"/>
      <c r="FA118" s="427"/>
      <c r="FB118" s="427"/>
      <c r="FC118" s="427"/>
      <c r="FD118" s="427"/>
      <c r="FE118" s="427"/>
      <c r="FF118" s="427"/>
      <c r="FG118" s="427"/>
      <c r="FH118" s="427"/>
      <c r="FI118" s="427"/>
      <c r="FJ118" s="427"/>
      <c r="FK118" s="427"/>
      <c r="FL118" s="427"/>
      <c r="FM118" s="427"/>
      <c r="FN118" s="427"/>
      <c r="FO118" s="427"/>
      <c r="FP118" s="427"/>
      <c r="FQ118" s="427"/>
      <c r="FR118" s="427"/>
      <c r="FS118" s="427"/>
      <c r="FT118" s="427"/>
      <c r="FU118" s="427"/>
      <c r="FV118" s="427"/>
      <c r="FW118" s="427"/>
      <c r="FX118" s="427"/>
      <c r="FY118" s="427"/>
      <c r="FZ118" s="427"/>
      <c r="GA118" s="427"/>
      <c r="GB118" s="427"/>
      <c r="GC118" s="427"/>
      <c r="GD118" s="427"/>
      <c r="GE118" s="427"/>
      <c r="GF118" s="427"/>
      <c r="GG118" s="427"/>
      <c r="GH118" s="427"/>
      <c r="GI118" s="427"/>
      <c r="GJ118" s="427"/>
      <c r="GK118" s="427"/>
      <c r="GL118" s="427"/>
    </row>
    <row r="119" spans="1:194" s="500" customFormat="1" ht="27.75" customHeight="1" hidden="1" thickBot="1">
      <c r="A119" s="427"/>
      <c r="B119" s="493"/>
      <c r="C119" s="493">
        <f>ROUND(K119*(K115-K114+1)/K115,0.1)</f>
        <v>6773</v>
      </c>
      <c r="D119" s="493">
        <f>ROUND(C119*L118%,0.1)</f>
        <v>4290</v>
      </c>
      <c r="E119" s="493">
        <f>ROUND(C119*L119%,0.1)</f>
        <v>813</v>
      </c>
      <c r="F119" s="493">
        <f>C119-C118</f>
        <v>0</v>
      </c>
      <c r="G119" s="493">
        <f>D119-D118</f>
        <v>0</v>
      </c>
      <c r="H119" s="493">
        <f>E119-E118</f>
        <v>0</v>
      </c>
      <c r="I119" s="493">
        <f>IF(L114&gt;10,ROUND(F119*27%,0.1),0)</f>
        <v>0</v>
      </c>
      <c r="J119" s="493"/>
      <c r="K119" s="493">
        <f>VLOOKUP(L114+2,AN23:AP35,3,0)</f>
        <v>16150</v>
      </c>
      <c r="L119" s="493">
        <f>VLOOKUP(L114+1,N35:Q46,3,)</f>
        <v>12</v>
      </c>
      <c r="M119" s="493"/>
      <c r="N119" s="427"/>
      <c r="O119" s="427"/>
      <c r="P119" s="427"/>
      <c r="Q119" s="427"/>
      <c r="R119" s="427"/>
      <c r="S119" s="427"/>
      <c r="T119" s="502"/>
      <c r="U119" s="503"/>
      <c r="V119" s="504"/>
      <c r="W119" s="427"/>
      <c r="X119" s="427">
        <f>IF(U83=2,"","31")</f>
      </c>
      <c r="Y119" s="427">
        <f>IF($AA$52=2,"","31")</f>
      </c>
      <c r="Z119" s="427"/>
      <c r="AA119" s="497">
        <v>34</v>
      </c>
      <c r="AB119" s="498">
        <v>17050</v>
      </c>
      <c r="AC119" s="499">
        <v>8815</v>
      </c>
      <c r="AD119" s="499">
        <v>9050</v>
      </c>
      <c r="AE119" s="498">
        <v>17050</v>
      </c>
      <c r="AF119" s="498">
        <v>17540</v>
      </c>
      <c r="AG119" s="498">
        <v>18030</v>
      </c>
      <c r="AH119" s="427"/>
      <c r="AI119" s="427"/>
      <c r="AJ119" s="427"/>
      <c r="AK119" s="427"/>
      <c r="AL119" s="427"/>
      <c r="AM119" s="427"/>
      <c r="AN119" s="427"/>
      <c r="AO119" s="427"/>
      <c r="AP119" s="427"/>
      <c r="AQ119" s="427"/>
      <c r="AR119" s="427"/>
      <c r="AS119" s="427"/>
      <c r="AT119" s="427"/>
      <c r="AU119" s="427"/>
      <c r="AV119" s="427"/>
      <c r="AW119" s="427"/>
      <c r="AX119" s="427"/>
      <c r="AY119" s="427"/>
      <c r="AZ119" s="427"/>
      <c r="BA119" s="427"/>
      <c r="BB119" s="427"/>
      <c r="BC119" s="427"/>
      <c r="BD119" s="427"/>
      <c r="BE119" s="427"/>
      <c r="BF119" s="427"/>
      <c r="BG119" s="427"/>
      <c r="BH119" s="427"/>
      <c r="BI119" s="427"/>
      <c r="BJ119" s="427"/>
      <c r="BK119" s="427"/>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c r="CG119" s="427"/>
      <c r="CH119" s="427"/>
      <c r="CI119" s="427"/>
      <c r="CJ119" s="427"/>
      <c r="CK119" s="427"/>
      <c r="CL119" s="427"/>
      <c r="CM119" s="427"/>
      <c r="CN119" s="427"/>
      <c r="CO119" s="427"/>
      <c r="CP119" s="427"/>
      <c r="CQ119" s="427"/>
      <c r="CR119" s="427"/>
      <c r="CS119" s="427"/>
      <c r="CT119" s="427"/>
      <c r="CU119" s="427"/>
      <c r="CV119" s="427"/>
      <c r="CW119" s="427"/>
      <c r="CX119" s="427"/>
      <c r="CY119" s="427"/>
      <c r="CZ119" s="427"/>
      <c r="DA119" s="427"/>
      <c r="DB119" s="427"/>
      <c r="DC119" s="427"/>
      <c r="DD119" s="427"/>
      <c r="DE119" s="427"/>
      <c r="DF119" s="427"/>
      <c r="DG119" s="427"/>
      <c r="DH119" s="427"/>
      <c r="DI119" s="427"/>
      <c r="DJ119" s="427"/>
      <c r="DK119" s="427"/>
      <c r="DL119" s="427"/>
      <c r="DM119" s="427"/>
      <c r="DN119" s="427"/>
      <c r="DO119" s="427"/>
      <c r="DP119" s="427"/>
      <c r="DQ119" s="427"/>
      <c r="DR119" s="427"/>
      <c r="DS119" s="427"/>
      <c r="DT119" s="427"/>
      <c r="DU119" s="427"/>
      <c r="DV119" s="427"/>
      <c r="DW119" s="427"/>
      <c r="DX119" s="427"/>
      <c r="DY119" s="427"/>
      <c r="DZ119" s="427"/>
      <c r="EA119" s="427"/>
      <c r="EB119" s="427"/>
      <c r="EC119" s="427"/>
      <c r="ED119" s="427"/>
      <c r="EE119" s="427"/>
      <c r="EF119" s="427"/>
      <c r="EG119" s="427"/>
      <c r="EH119" s="427"/>
      <c r="EI119" s="427"/>
      <c r="EJ119" s="427"/>
      <c r="EK119" s="427"/>
      <c r="EL119" s="427"/>
      <c r="EM119" s="427"/>
      <c r="EN119" s="427"/>
      <c r="EO119" s="427"/>
      <c r="EP119" s="427"/>
      <c r="EQ119" s="427"/>
      <c r="ER119" s="427"/>
      <c r="ES119" s="427"/>
      <c r="ET119" s="427"/>
      <c r="EU119" s="427"/>
      <c r="EV119" s="427"/>
      <c r="EW119" s="427"/>
      <c r="EX119" s="427"/>
      <c r="EY119" s="427"/>
      <c r="EZ119" s="427"/>
      <c r="FA119" s="427"/>
      <c r="FB119" s="427"/>
      <c r="FC119" s="427"/>
      <c r="FD119" s="427"/>
      <c r="FE119" s="427"/>
      <c r="FF119" s="427"/>
      <c r="FG119" s="427"/>
      <c r="FH119" s="427"/>
      <c r="FI119" s="427"/>
      <c r="FJ119" s="427"/>
      <c r="FK119" s="427"/>
      <c r="FL119" s="427"/>
      <c r="FM119" s="427"/>
      <c r="FN119" s="427"/>
      <c r="FO119" s="427"/>
      <c r="FP119" s="427"/>
      <c r="FQ119" s="427"/>
      <c r="FR119" s="427"/>
      <c r="FS119" s="427"/>
      <c r="FT119" s="427"/>
      <c r="FU119" s="427"/>
      <c r="FV119" s="427"/>
      <c r="FW119" s="427"/>
      <c r="FX119" s="427"/>
      <c r="FY119" s="427"/>
      <c r="FZ119" s="427"/>
      <c r="GA119" s="427"/>
      <c r="GB119" s="427"/>
      <c r="GC119" s="427"/>
      <c r="GD119" s="427"/>
      <c r="GE119" s="427"/>
      <c r="GF119" s="427"/>
      <c r="GG119" s="427"/>
      <c r="GH119" s="427"/>
      <c r="GI119" s="427"/>
      <c r="GJ119" s="427"/>
      <c r="GK119" s="427"/>
      <c r="GL119" s="427"/>
    </row>
    <row r="120" spans="1:194" s="500" customFormat="1" ht="27.75" customHeight="1" hidden="1">
      <c r="A120" s="427"/>
      <c r="B120" s="493"/>
      <c r="C120" s="493"/>
      <c r="D120" s="493"/>
      <c r="E120" s="493"/>
      <c r="F120" s="493">
        <f>IF(U83=2,0,F119)</f>
        <v>0</v>
      </c>
      <c r="G120" s="493">
        <f>IF(U83=2,0,G119)</f>
        <v>0</v>
      </c>
      <c r="H120" s="493">
        <f>IF(U83=2,0,H119)</f>
        <v>0</v>
      </c>
      <c r="I120" s="493">
        <f>IF(V83=2,0,I119)</f>
        <v>0</v>
      </c>
      <c r="J120" s="493"/>
      <c r="K120" s="493"/>
      <c r="L120" s="493"/>
      <c r="M120" s="493"/>
      <c r="N120" s="427"/>
      <c r="O120" s="427"/>
      <c r="P120" s="427"/>
      <c r="Q120" s="427"/>
      <c r="R120" s="427"/>
      <c r="S120" s="427"/>
      <c r="T120" s="427"/>
      <c r="U120" s="427"/>
      <c r="V120" s="427"/>
      <c r="W120" s="427"/>
      <c r="X120" s="427"/>
      <c r="Y120" s="427"/>
      <c r="Z120" s="427"/>
      <c r="AA120" s="497">
        <v>35</v>
      </c>
      <c r="AB120" s="498">
        <v>17540</v>
      </c>
      <c r="AC120" s="499">
        <v>9050</v>
      </c>
      <c r="AD120" s="499">
        <v>9285</v>
      </c>
      <c r="AE120" s="498">
        <v>17540</v>
      </c>
      <c r="AF120" s="498">
        <v>18030</v>
      </c>
      <c r="AG120" s="498">
        <v>18520</v>
      </c>
      <c r="AH120" s="427"/>
      <c r="AI120" s="427"/>
      <c r="AJ120" s="427"/>
      <c r="AK120" s="427"/>
      <c r="AL120" s="427"/>
      <c r="AM120" s="427"/>
      <c r="AN120" s="427"/>
      <c r="AO120" s="427"/>
      <c r="AP120" s="427"/>
      <c r="AQ120" s="427"/>
      <c r="AR120" s="427"/>
      <c r="AS120" s="427"/>
      <c r="AT120" s="427"/>
      <c r="AU120" s="427"/>
      <c r="AV120" s="427"/>
      <c r="AW120" s="427"/>
      <c r="AX120" s="427"/>
      <c r="AY120" s="427"/>
      <c r="AZ120" s="427"/>
      <c r="BA120" s="427"/>
      <c r="BB120" s="427"/>
      <c r="BC120" s="427"/>
      <c r="BD120" s="427"/>
      <c r="BE120" s="427"/>
      <c r="BF120" s="427"/>
      <c r="BG120" s="427"/>
      <c r="BH120" s="427"/>
      <c r="BI120" s="427"/>
      <c r="BJ120" s="427"/>
      <c r="BK120" s="427"/>
      <c r="BL120" s="427"/>
      <c r="BM120" s="427"/>
      <c r="BN120" s="427"/>
      <c r="BO120" s="427"/>
      <c r="BP120" s="427"/>
      <c r="BQ120" s="427"/>
      <c r="BR120" s="427"/>
      <c r="BS120" s="427"/>
      <c r="BT120" s="427"/>
      <c r="BU120" s="427"/>
      <c r="BV120" s="427"/>
      <c r="BW120" s="427"/>
      <c r="BX120" s="427"/>
      <c r="BY120" s="427"/>
      <c r="BZ120" s="427"/>
      <c r="CA120" s="427"/>
      <c r="CB120" s="427"/>
      <c r="CC120" s="427"/>
      <c r="CD120" s="427"/>
      <c r="CE120" s="427"/>
      <c r="CF120" s="427"/>
      <c r="CG120" s="427"/>
      <c r="CH120" s="427"/>
      <c r="CI120" s="427"/>
      <c r="CJ120" s="427"/>
      <c r="CK120" s="427"/>
      <c r="CL120" s="427"/>
      <c r="CM120" s="427"/>
      <c r="CN120" s="427"/>
      <c r="CO120" s="427"/>
      <c r="CP120" s="427"/>
      <c r="CQ120" s="427"/>
      <c r="CR120" s="427"/>
      <c r="CS120" s="427"/>
      <c r="CT120" s="427"/>
      <c r="CU120" s="427"/>
      <c r="CV120" s="427"/>
      <c r="CW120" s="427"/>
      <c r="CX120" s="427"/>
      <c r="CY120" s="427"/>
      <c r="CZ120" s="427"/>
      <c r="DA120" s="427"/>
      <c r="DB120" s="427"/>
      <c r="DC120" s="427"/>
      <c r="DD120" s="427"/>
      <c r="DE120" s="427"/>
      <c r="DF120" s="427"/>
      <c r="DG120" s="427"/>
      <c r="DH120" s="427"/>
      <c r="DI120" s="427"/>
      <c r="DJ120" s="427"/>
      <c r="DK120" s="427"/>
      <c r="DL120" s="427"/>
      <c r="DM120" s="427"/>
      <c r="DN120" s="427"/>
      <c r="DO120" s="427"/>
      <c r="DP120" s="427"/>
      <c r="DQ120" s="427"/>
      <c r="DR120" s="427"/>
      <c r="DS120" s="427"/>
      <c r="DT120" s="427"/>
      <c r="DU120" s="427"/>
      <c r="DV120" s="427"/>
      <c r="DW120" s="427"/>
      <c r="DX120" s="427"/>
      <c r="DY120" s="427"/>
      <c r="DZ120" s="427"/>
      <c r="EA120" s="427"/>
      <c r="EB120" s="427"/>
      <c r="EC120" s="427"/>
      <c r="ED120" s="427"/>
      <c r="EE120" s="427"/>
      <c r="EF120" s="427"/>
      <c r="EG120" s="427"/>
      <c r="EH120" s="427"/>
      <c r="EI120" s="427"/>
      <c r="EJ120" s="427"/>
      <c r="EK120" s="427"/>
      <c r="EL120" s="427"/>
      <c r="EM120" s="427"/>
      <c r="EN120" s="427"/>
      <c r="EO120" s="427"/>
      <c r="EP120" s="427"/>
      <c r="EQ120" s="427"/>
      <c r="ER120" s="427"/>
      <c r="ES120" s="427"/>
      <c r="ET120" s="427"/>
      <c r="EU120" s="427"/>
      <c r="EV120" s="427"/>
      <c r="EW120" s="427"/>
      <c r="EX120" s="427"/>
      <c r="EY120" s="427"/>
      <c r="EZ120" s="427"/>
      <c r="FA120" s="427"/>
      <c r="FB120" s="427"/>
      <c r="FC120" s="427"/>
      <c r="FD120" s="427"/>
      <c r="FE120" s="427"/>
      <c r="FF120" s="427"/>
      <c r="FG120" s="427"/>
      <c r="FH120" s="427"/>
      <c r="FI120" s="427"/>
      <c r="FJ120" s="427"/>
      <c r="FK120" s="427"/>
      <c r="FL120" s="427"/>
      <c r="FM120" s="427"/>
      <c r="FN120" s="427"/>
      <c r="FO120" s="427"/>
      <c r="FP120" s="427"/>
      <c r="FQ120" s="427"/>
      <c r="FR120" s="427"/>
      <c r="FS120" s="427"/>
      <c r="FT120" s="427"/>
      <c r="FU120" s="427"/>
      <c r="FV120" s="427"/>
      <c r="FW120" s="427"/>
      <c r="FX120" s="427"/>
      <c r="FY120" s="427"/>
      <c r="FZ120" s="427"/>
      <c r="GA120" s="427"/>
      <c r="GB120" s="427"/>
      <c r="GC120" s="427"/>
      <c r="GD120" s="427"/>
      <c r="GE120" s="427"/>
      <c r="GF120" s="427"/>
      <c r="GG120" s="427"/>
      <c r="GH120" s="427"/>
      <c r="GI120" s="427"/>
      <c r="GJ120" s="427"/>
      <c r="GK120" s="427"/>
      <c r="GL120" s="427"/>
    </row>
    <row r="121" spans="1:194" s="500" customFormat="1" ht="27.75" customHeight="1" hidden="1">
      <c r="A121" s="427"/>
      <c r="B121" s="493"/>
      <c r="C121" s="493"/>
      <c r="D121" s="493"/>
      <c r="E121" s="493"/>
      <c r="F121" s="493"/>
      <c r="G121" s="493"/>
      <c r="H121" s="493">
        <f>ROUND(F119*10%,0.1)+ROUND(G119*10%,0.1)</f>
        <v>0</v>
      </c>
      <c r="I121" s="493"/>
      <c r="J121" s="493"/>
      <c r="K121" s="493"/>
      <c r="L121" s="493"/>
      <c r="M121" s="493"/>
      <c r="N121" s="427"/>
      <c r="O121" s="427"/>
      <c r="P121" s="427"/>
      <c r="Q121" s="427"/>
      <c r="R121" s="427"/>
      <c r="S121" s="427"/>
      <c r="T121" s="427"/>
      <c r="U121" s="427"/>
      <c r="V121" s="427"/>
      <c r="W121" s="427"/>
      <c r="X121" s="427"/>
      <c r="Y121" s="427"/>
      <c r="Z121" s="427"/>
      <c r="AA121" s="497">
        <v>36</v>
      </c>
      <c r="AB121" s="498">
        <v>18030</v>
      </c>
      <c r="AC121" s="499">
        <v>9285</v>
      </c>
      <c r="AD121" s="499">
        <v>9520</v>
      </c>
      <c r="AE121" s="498">
        <v>18030</v>
      </c>
      <c r="AF121" s="498">
        <v>18520</v>
      </c>
      <c r="AG121" s="498">
        <v>19050</v>
      </c>
      <c r="AH121" s="427"/>
      <c r="AI121" s="427"/>
      <c r="AJ121" s="427"/>
      <c r="AK121" s="427"/>
      <c r="AL121" s="427"/>
      <c r="AM121" s="427"/>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7"/>
      <c r="BR121" s="427"/>
      <c r="BS121" s="427"/>
      <c r="BT121" s="427"/>
      <c r="BU121" s="427"/>
      <c r="BV121" s="427"/>
      <c r="BW121" s="427"/>
      <c r="BX121" s="427"/>
      <c r="BY121" s="427"/>
      <c r="BZ121" s="427"/>
      <c r="CA121" s="427"/>
      <c r="CB121" s="427"/>
      <c r="CC121" s="427"/>
      <c r="CD121" s="427"/>
      <c r="CE121" s="427"/>
      <c r="CF121" s="427"/>
      <c r="CG121" s="427"/>
      <c r="CH121" s="427"/>
      <c r="CI121" s="427"/>
      <c r="CJ121" s="427"/>
      <c r="CK121" s="427"/>
      <c r="CL121" s="427"/>
      <c r="CM121" s="427"/>
      <c r="CN121" s="427"/>
      <c r="CO121" s="427"/>
      <c r="CP121" s="427"/>
      <c r="CQ121" s="427"/>
      <c r="CR121" s="427"/>
      <c r="CS121" s="427"/>
      <c r="CT121" s="427"/>
      <c r="CU121" s="427"/>
      <c r="CV121" s="427"/>
      <c r="CW121" s="427"/>
      <c r="CX121" s="427"/>
      <c r="CY121" s="427"/>
      <c r="CZ121" s="427"/>
      <c r="DA121" s="427"/>
      <c r="DB121" s="427"/>
      <c r="DC121" s="427"/>
      <c r="DD121" s="427"/>
      <c r="DE121" s="427"/>
      <c r="DF121" s="427"/>
      <c r="DG121" s="427"/>
      <c r="DH121" s="427"/>
      <c r="DI121" s="427"/>
      <c r="DJ121" s="427"/>
      <c r="DK121" s="427"/>
      <c r="DL121" s="427"/>
      <c r="DM121" s="427"/>
      <c r="DN121" s="427"/>
      <c r="DO121" s="427"/>
      <c r="DP121" s="427"/>
      <c r="DQ121" s="427"/>
      <c r="DR121" s="427"/>
      <c r="DS121" s="427"/>
      <c r="DT121" s="427"/>
      <c r="DU121" s="427"/>
      <c r="DV121" s="427"/>
      <c r="DW121" s="427"/>
      <c r="DX121" s="427"/>
      <c r="DY121" s="427"/>
      <c r="DZ121" s="427"/>
      <c r="EA121" s="427"/>
      <c r="EB121" s="427"/>
      <c r="EC121" s="427"/>
      <c r="ED121" s="427"/>
      <c r="EE121" s="427"/>
      <c r="EF121" s="427"/>
      <c r="EG121" s="427"/>
      <c r="EH121" s="427"/>
      <c r="EI121" s="427"/>
      <c r="EJ121" s="427"/>
      <c r="EK121" s="427"/>
      <c r="EL121" s="427"/>
      <c r="EM121" s="427"/>
      <c r="EN121" s="427"/>
      <c r="EO121" s="427"/>
      <c r="EP121" s="427"/>
      <c r="EQ121" s="427"/>
      <c r="ER121" s="427"/>
      <c r="ES121" s="427"/>
      <c r="ET121" s="427"/>
      <c r="EU121" s="427"/>
      <c r="EV121" s="427"/>
      <c r="EW121" s="427"/>
      <c r="EX121" s="427"/>
      <c r="EY121" s="427"/>
      <c r="EZ121" s="427"/>
      <c r="FA121" s="427"/>
      <c r="FB121" s="427"/>
      <c r="FC121" s="427"/>
      <c r="FD121" s="427"/>
      <c r="FE121" s="427"/>
      <c r="FF121" s="427"/>
      <c r="FG121" s="427"/>
      <c r="FH121" s="427"/>
      <c r="FI121" s="427"/>
      <c r="FJ121" s="427"/>
      <c r="FK121" s="427"/>
      <c r="FL121" s="427"/>
      <c r="FM121" s="427"/>
      <c r="FN121" s="427"/>
      <c r="FO121" s="427"/>
      <c r="FP121" s="427"/>
      <c r="FQ121" s="427"/>
      <c r="FR121" s="427"/>
      <c r="FS121" s="427"/>
      <c r="FT121" s="427"/>
      <c r="FU121" s="427"/>
      <c r="FV121" s="427"/>
      <c r="FW121" s="427"/>
      <c r="FX121" s="427"/>
      <c r="FY121" s="427"/>
      <c r="FZ121" s="427"/>
      <c r="GA121" s="427"/>
      <c r="GB121" s="427"/>
      <c r="GC121" s="427"/>
      <c r="GD121" s="427"/>
      <c r="GE121" s="427"/>
      <c r="GF121" s="427"/>
      <c r="GG121" s="427"/>
      <c r="GH121" s="427"/>
      <c r="GI121" s="427"/>
      <c r="GJ121" s="427"/>
      <c r="GK121" s="427"/>
      <c r="GL121" s="427"/>
    </row>
    <row r="122" spans="1:194" s="500" customFormat="1" ht="27.75" customHeight="1" hidden="1">
      <c r="A122" s="427"/>
      <c r="B122" s="493"/>
      <c r="C122" s="493"/>
      <c r="D122" s="493"/>
      <c r="E122" s="493"/>
      <c r="F122" s="493"/>
      <c r="G122" s="493"/>
      <c r="H122" s="493"/>
      <c r="I122" s="493"/>
      <c r="J122" s="493"/>
      <c r="K122" s="493"/>
      <c r="L122" s="493"/>
      <c r="M122" s="493"/>
      <c r="N122" s="427"/>
      <c r="O122" s="427"/>
      <c r="P122" s="427"/>
      <c r="Q122" s="427"/>
      <c r="R122" s="427"/>
      <c r="S122" s="427"/>
      <c r="T122" s="427"/>
      <c r="U122" s="427"/>
      <c r="V122" s="427"/>
      <c r="W122" s="427"/>
      <c r="X122" s="427"/>
      <c r="Y122" s="427"/>
      <c r="Z122" s="427"/>
      <c r="AA122" s="497">
        <v>37</v>
      </c>
      <c r="AB122" s="498">
        <v>18520</v>
      </c>
      <c r="AC122" s="499">
        <v>9520</v>
      </c>
      <c r="AD122" s="499">
        <v>9775</v>
      </c>
      <c r="AE122" s="498">
        <v>18520</v>
      </c>
      <c r="AF122" s="498">
        <v>19050</v>
      </c>
      <c r="AG122" s="498">
        <v>19580</v>
      </c>
      <c r="AH122" s="427"/>
      <c r="AI122" s="427"/>
      <c r="AJ122" s="427"/>
      <c r="AK122" s="427"/>
      <c r="AL122" s="427"/>
      <c r="AM122" s="427"/>
      <c r="AN122" s="427"/>
      <c r="AO122" s="427"/>
      <c r="AP122" s="427"/>
      <c r="AQ122" s="427"/>
      <c r="AR122" s="427"/>
      <c r="AS122" s="427"/>
      <c r="AT122" s="427"/>
      <c r="AU122" s="427"/>
      <c r="AV122" s="427"/>
      <c r="AW122" s="427"/>
      <c r="AX122" s="427"/>
      <c r="AY122" s="427"/>
      <c r="AZ122" s="427"/>
      <c r="BA122" s="427"/>
      <c r="BB122" s="427"/>
      <c r="BC122" s="427"/>
      <c r="BD122" s="427"/>
      <c r="BE122" s="427"/>
      <c r="BF122" s="427"/>
      <c r="BG122" s="427"/>
      <c r="BH122" s="427"/>
      <c r="BI122" s="427"/>
      <c r="BJ122" s="427"/>
      <c r="BK122" s="427"/>
      <c r="BL122" s="427"/>
      <c r="BM122" s="427"/>
      <c r="BN122" s="427"/>
      <c r="BO122" s="427"/>
      <c r="BP122" s="427"/>
      <c r="BQ122" s="427"/>
      <c r="BR122" s="427"/>
      <c r="BS122" s="427"/>
      <c r="BT122" s="427"/>
      <c r="BU122" s="427"/>
      <c r="BV122" s="427"/>
      <c r="BW122" s="427"/>
      <c r="BX122" s="427"/>
      <c r="BY122" s="427"/>
      <c r="BZ122" s="427"/>
      <c r="CA122" s="427"/>
      <c r="CB122" s="427"/>
      <c r="CC122" s="427"/>
      <c r="CD122" s="427"/>
      <c r="CE122" s="427"/>
      <c r="CF122" s="427"/>
      <c r="CG122" s="427"/>
      <c r="CH122" s="427"/>
      <c r="CI122" s="427"/>
      <c r="CJ122" s="427"/>
      <c r="CK122" s="427"/>
      <c r="CL122" s="427"/>
      <c r="CM122" s="427"/>
      <c r="CN122" s="427"/>
      <c r="CO122" s="427"/>
      <c r="CP122" s="427"/>
      <c r="CQ122" s="427"/>
      <c r="CR122" s="427"/>
      <c r="CS122" s="427"/>
      <c r="CT122" s="427"/>
      <c r="CU122" s="427"/>
      <c r="CV122" s="427"/>
      <c r="CW122" s="427"/>
      <c r="CX122" s="427"/>
      <c r="CY122" s="427"/>
      <c r="CZ122" s="427"/>
      <c r="DA122" s="427"/>
      <c r="DB122" s="427"/>
      <c r="DC122" s="427"/>
      <c r="DD122" s="427"/>
      <c r="DE122" s="427"/>
      <c r="DF122" s="427"/>
      <c r="DG122" s="427"/>
      <c r="DH122" s="427"/>
      <c r="DI122" s="427"/>
      <c r="DJ122" s="427"/>
      <c r="DK122" s="427"/>
      <c r="DL122" s="427"/>
      <c r="DM122" s="427"/>
      <c r="DN122" s="427"/>
      <c r="DO122" s="427"/>
      <c r="DP122" s="427"/>
      <c r="DQ122" s="427"/>
      <c r="DR122" s="427"/>
      <c r="DS122" s="427"/>
      <c r="DT122" s="427"/>
      <c r="DU122" s="427"/>
      <c r="DV122" s="427"/>
      <c r="DW122" s="427"/>
      <c r="DX122" s="427"/>
      <c r="DY122" s="427"/>
      <c r="DZ122" s="427"/>
      <c r="EA122" s="427"/>
      <c r="EB122" s="427"/>
      <c r="EC122" s="427"/>
      <c r="ED122" s="427"/>
      <c r="EE122" s="427"/>
      <c r="EF122" s="427"/>
      <c r="EG122" s="427"/>
      <c r="EH122" s="427"/>
      <c r="EI122" s="427"/>
      <c r="EJ122" s="427"/>
      <c r="EK122" s="427"/>
      <c r="EL122" s="427"/>
      <c r="EM122" s="427"/>
      <c r="EN122" s="427"/>
      <c r="EO122" s="427"/>
      <c r="EP122" s="427"/>
      <c r="EQ122" s="427"/>
      <c r="ER122" s="427"/>
      <c r="ES122" s="427"/>
      <c r="ET122" s="427"/>
      <c r="EU122" s="427"/>
      <c r="EV122" s="427"/>
      <c r="EW122" s="427"/>
      <c r="EX122" s="427"/>
      <c r="EY122" s="427"/>
      <c r="EZ122" s="427"/>
      <c r="FA122" s="427"/>
      <c r="FB122" s="427"/>
      <c r="FC122" s="427"/>
      <c r="FD122" s="427"/>
      <c r="FE122" s="427"/>
      <c r="FF122" s="427"/>
      <c r="FG122" s="427"/>
      <c r="FH122" s="427"/>
      <c r="FI122" s="427"/>
      <c r="FJ122" s="427"/>
      <c r="FK122" s="427"/>
      <c r="FL122" s="427"/>
      <c r="FM122" s="427"/>
      <c r="FN122" s="427"/>
      <c r="FO122" s="427"/>
      <c r="FP122" s="427"/>
      <c r="FQ122" s="427"/>
      <c r="FR122" s="427"/>
      <c r="FS122" s="427"/>
      <c r="FT122" s="427"/>
      <c r="FU122" s="427"/>
      <c r="FV122" s="427"/>
      <c r="FW122" s="427"/>
      <c r="FX122" s="427"/>
      <c r="FY122" s="427"/>
      <c r="FZ122" s="427"/>
      <c r="GA122" s="427"/>
      <c r="GB122" s="427"/>
      <c r="GC122" s="427"/>
      <c r="GD122" s="427"/>
      <c r="GE122" s="427"/>
      <c r="GF122" s="427"/>
      <c r="GG122" s="427"/>
      <c r="GH122" s="427"/>
      <c r="GI122" s="427"/>
      <c r="GJ122" s="427"/>
      <c r="GK122" s="427"/>
      <c r="GL122" s="427"/>
    </row>
    <row r="123" spans="1:194" s="500" customFormat="1" ht="27.75" customHeight="1" hidden="1">
      <c r="A123" s="427"/>
      <c r="B123" s="493"/>
      <c r="C123" s="493"/>
      <c r="D123" s="493"/>
      <c r="E123" s="493"/>
      <c r="F123" s="493"/>
      <c r="G123" s="493"/>
      <c r="H123" s="493"/>
      <c r="I123" s="493"/>
      <c r="J123" s="493"/>
      <c r="K123" s="493"/>
      <c r="L123" s="493"/>
      <c r="M123" s="493"/>
      <c r="N123" s="427"/>
      <c r="O123" s="427"/>
      <c r="P123" s="427"/>
      <c r="Q123" s="427"/>
      <c r="R123" s="427"/>
      <c r="S123" s="427"/>
      <c r="T123" s="427"/>
      <c r="U123" s="427"/>
      <c r="V123" s="427"/>
      <c r="W123" s="427"/>
      <c r="X123" s="427"/>
      <c r="Y123" s="427"/>
      <c r="Z123" s="427"/>
      <c r="AA123" s="497">
        <v>38</v>
      </c>
      <c r="AB123" s="498">
        <v>19050</v>
      </c>
      <c r="AC123" s="499">
        <v>9775</v>
      </c>
      <c r="AD123" s="499">
        <v>10030</v>
      </c>
      <c r="AE123" s="498">
        <v>19050</v>
      </c>
      <c r="AF123" s="498">
        <v>19580</v>
      </c>
      <c r="AG123" s="498">
        <v>20110</v>
      </c>
      <c r="AH123" s="427"/>
      <c r="AI123" s="427"/>
      <c r="AJ123" s="427"/>
      <c r="AK123" s="427"/>
      <c r="AL123" s="427"/>
      <c r="AM123" s="427"/>
      <c r="AN123" s="427"/>
      <c r="AO123" s="427"/>
      <c r="AP123" s="427"/>
      <c r="AQ123" s="427"/>
      <c r="AR123" s="427"/>
      <c r="AS123" s="427"/>
      <c r="AT123" s="427"/>
      <c r="AU123" s="427"/>
      <c r="AV123" s="427"/>
      <c r="AW123" s="427"/>
      <c r="AX123" s="427"/>
      <c r="AY123" s="427"/>
      <c r="AZ123" s="427"/>
      <c r="BA123" s="427"/>
      <c r="BB123" s="427"/>
      <c r="BC123" s="427"/>
      <c r="BD123" s="427"/>
      <c r="BE123" s="427"/>
      <c r="BF123" s="427"/>
      <c r="BG123" s="427"/>
      <c r="BH123" s="427"/>
      <c r="BI123" s="427"/>
      <c r="BJ123" s="427"/>
      <c r="BK123" s="427"/>
      <c r="BL123" s="427"/>
      <c r="BM123" s="427"/>
      <c r="BN123" s="427"/>
      <c r="BO123" s="427"/>
      <c r="BP123" s="427"/>
      <c r="BQ123" s="427"/>
      <c r="BR123" s="427"/>
      <c r="BS123" s="427"/>
      <c r="BT123" s="427"/>
      <c r="BU123" s="427"/>
      <c r="BV123" s="427"/>
      <c r="BW123" s="427"/>
      <c r="BX123" s="427"/>
      <c r="BY123" s="427"/>
      <c r="BZ123" s="427"/>
      <c r="CA123" s="427"/>
      <c r="CB123" s="427"/>
      <c r="CC123" s="427"/>
      <c r="CD123" s="427"/>
      <c r="CE123" s="427"/>
      <c r="CF123" s="427"/>
      <c r="CG123" s="427"/>
      <c r="CH123" s="427"/>
      <c r="CI123" s="427"/>
      <c r="CJ123" s="427"/>
      <c r="CK123" s="427"/>
      <c r="CL123" s="427"/>
      <c r="CM123" s="427"/>
      <c r="CN123" s="427"/>
      <c r="CO123" s="427"/>
      <c r="CP123" s="427"/>
      <c r="CQ123" s="427"/>
      <c r="CR123" s="427"/>
      <c r="CS123" s="427"/>
      <c r="CT123" s="427"/>
      <c r="CU123" s="427"/>
      <c r="CV123" s="427"/>
      <c r="CW123" s="427"/>
      <c r="CX123" s="427"/>
      <c r="CY123" s="427"/>
      <c r="CZ123" s="427"/>
      <c r="DA123" s="427"/>
      <c r="DB123" s="427"/>
      <c r="DC123" s="427"/>
      <c r="DD123" s="427"/>
      <c r="DE123" s="427"/>
      <c r="DF123" s="427"/>
      <c r="DG123" s="427"/>
      <c r="DH123" s="427"/>
      <c r="DI123" s="427"/>
      <c r="DJ123" s="427"/>
      <c r="DK123" s="427"/>
      <c r="DL123" s="427"/>
      <c r="DM123" s="427"/>
      <c r="DN123" s="427"/>
      <c r="DO123" s="427"/>
      <c r="DP123" s="427"/>
      <c r="DQ123" s="427"/>
      <c r="DR123" s="427"/>
      <c r="DS123" s="427"/>
      <c r="DT123" s="427"/>
      <c r="DU123" s="427"/>
      <c r="DV123" s="427"/>
      <c r="DW123" s="427"/>
      <c r="DX123" s="427"/>
      <c r="DY123" s="427"/>
      <c r="DZ123" s="427"/>
      <c r="EA123" s="427"/>
      <c r="EB123" s="427"/>
      <c r="EC123" s="427"/>
      <c r="ED123" s="427"/>
      <c r="EE123" s="427"/>
      <c r="EF123" s="427"/>
      <c r="EG123" s="427"/>
      <c r="EH123" s="427"/>
      <c r="EI123" s="427"/>
      <c r="EJ123" s="427"/>
      <c r="EK123" s="427"/>
      <c r="EL123" s="427"/>
      <c r="EM123" s="427"/>
      <c r="EN123" s="427"/>
      <c r="EO123" s="427"/>
      <c r="EP123" s="427"/>
      <c r="EQ123" s="427"/>
      <c r="ER123" s="427"/>
      <c r="ES123" s="427"/>
      <c r="ET123" s="427"/>
      <c r="EU123" s="427"/>
      <c r="EV123" s="427"/>
      <c r="EW123" s="427"/>
      <c r="EX123" s="427"/>
      <c r="EY123" s="427"/>
      <c r="EZ123" s="427"/>
      <c r="FA123" s="427"/>
      <c r="FB123" s="427"/>
      <c r="FC123" s="427"/>
      <c r="FD123" s="427"/>
      <c r="FE123" s="427"/>
      <c r="FF123" s="427"/>
      <c r="FG123" s="427"/>
      <c r="FH123" s="427"/>
      <c r="FI123" s="427"/>
      <c r="FJ123" s="427"/>
      <c r="FK123" s="427"/>
      <c r="FL123" s="427"/>
      <c r="FM123" s="427"/>
      <c r="FN123" s="427"/>
      <c r="FO123" s="427"/>
      <c r="FP123" s="427"/>
      <c r="FQ123" s="427"/>
      <c r="FR123" s="427"/>
      <c r="FS123" s="427"/>
      <c r="FT123" s="427"/>
      <c r="FU123" s="427"/>
      <c r="FV123" s="427"/>
      <c r="FW123" s="427"/>
      <c r="FX123" s="427"/>
      <c r="FY123" s="427"/>
      <c r="FZ123" s="427"/>
      <c r="GA123" s="427"/>
      <c r="GB123" s="427"/>
      <c r="GC123" s="427"/>
      <c r="GD123" s="427"/>
      <c r="GE123" s="427"/>
      <c r="GF123" s="427"/>
      <c r="GG123" s="427"/>
      <c r="GH123" s="427"/>
      <c r="GI123" s="427"/>
      <c r="GJ123" s="427"/>
      <c r="GK123" s="427"/>
      <c r="GL123" s="427"/>
    </row>
    <row r="124" spans="1:194" s="500" customFormat="1" ht="27.75" customHeight="1" hidden="1" thickBot="1">
      <c r="A124" s="427"/>
      <c r="B124" s="493"/>
      <c r="C124" s="493"/>
      <c r="D124" s="493"/>
      <c r="E124" s="493"/>
      <c r="F124" s="493"/>
      <c r="G124" s="493"/>
      <c r="H124" s="493"/>
      <c r="I124" s="493"/>
      <c r="J124" s="493"/>
      <c r="K124" s="493"/>
      <c r="L124" s="493"/>
      <c r="M124" s="493"/>
      <c r="N124" s="427"/>
      <c r="O124" s="427"/>
      <c r="P124" s="427"/>
      <c r="Q124" s="427"/>
      <c r="R124" s="427"/>
      <c r="S124" s="427"/>
      <c r="T124" s="427"/>
      <c r="U124" s="427"/>
      <c r="V124" s="427"/>
      <c r="W124" s="427"/>
      <c r="X124" s="427"/>
      <c r="Y124" s="427"/>
      <c r="Z124" s="427"/>
      <c r="AA124" s="497">
        <v>39</v>
      </c>
      <c r="AB124" s="498">
        <v>19580</v>
      </c>
      <c r="AC124" s="499">
        <v>10030</v>
      </c>
      <c r="AD124" s="505">
        <v>10285</v>
      </c>
      <c r="AE124" s="498">
        <v>19580</v>
      </c>
      <c r="AF124" s="498">
        <v>20110</v>
      </c>
      <c r="AG124" s="498">
        <v>20680</v>
      </c>
      <c r="AH124" s="427"/>
      <c r="AI124" s="427"/>
      <c r="AJ124" s="427"/>
      <c r="AK124" s="427"/>
      <c r="AL124" s="427"/>
      <c r="AM124" s="427"/>
      <c r="AN124" s="427"/>
      <c r="AO124" s="427"/>
      <c r="AP124" s="427"/>
      <c r="AQ124" s="427"/>
      <c r="AR124" s="427"/>
      <c r="AS124" s="427"/>
      <c r="AT124" s="427"/>
      <c r="AU124" s="427"/>
      <c r="AV124" s="427"/>
      <c r="AW124" s="427"/>
      <c r="AX124" s="427"/>
      <c r="AY124" s="427"/>
      <c r="AZ124" s="427"/>
      <c r="BA124" s="427"/>
      <c r="BB124" s="427"/>
      <c r="BC124" s="427"/>
      <c r="BD124" s="427"/>
      <c r="BE124" s="427"/>
      <c r="BF124" s="427"/>
      <c r="BG124" s="427"/>
      <c r="BH124" s="427"/>
      <c r="BI124" s="427"/>
      <c r="BJ124" s="427"/>
      <c r="BK124" s="427"/>
      <c r="BL124" s="427"/>
      <c r="BM124" s="427"/>
      <c r="BN124" s="427"/>
      <c r="BO124" s="427"/>
      <c r="BP124" s="427"/>
      <c r="BQ124" s="427"/>
      <c r="BR124" s="427"/>
      <c r="BS124" s="427"/>
      <c r="BT124" s="427"/>
      <c r="BU124" s="427"/>
      <c r="BV124" s="427"/>
      <c r="BW124" s="427"/>
      <c r="BX124" s="427"/>
      <c r="BY124" s="427"/>
      <c r="BZ124" s="427"/>
      <c r="CA124" s="427"/>
      <c r="CB124" s="427"/>
      <c r="CC124" s="427"/>
      <c r="CD124" s="427"/>
      <c r="CE124" s="427"/>
      <c r="CF124" s="427"/>
      <c r="CG124" s="427"/>
      <c r="CH124" s="427"/>
      <c r="CI124" s="427"/>
      <c r="CJ124" s="427"/>
      <c r="CK124" s="427"/>
      <c r="CL124" s="427"/>
      <c r="CM124" s="427"/>
      <c r="CN124" s="427"/>
      <c r="CO124" s="427"/>
      <c r="CP124" s="427"/>
      <c r="CQ124" s="427"/>
      <c r="CR124" s="427"/>
      <c r="CS124" s="427"/>
      <c r="CT124" s="427"/>
      <c r="CU124" s="427"/>
      <c r="CV124" s="427"/>
      <c r="CW124" s="427"/>
      <c r="CX124" s="427"/>
      <c r="CY124" s="427"/>
      <c r="CZ124" s="427"/>
      <c r="DA124" s="427"/>
      <c r="DB124" s="427"/>
      <c r="DC124" s="427"/>
      <c r="DD124" s="427"/>
      <c r="DE124" s="427"/>
      <c r="DF124" s="427"/>
      <c r="DG124" s="427"/>
      <c r="DH124" s="427"/>
      <c r="DI124" s="427"/>
      <c r="DJ124" s="427"/>
      <c r="DK124" s="427"/>
      <c r="DL124" s="427"/>
      <c r="DM124" s="427"/>
      <c r="DN124" s="427"/>
      <c r="DO124" s="427"/>
      <c r="DP124" s="427"/>
      <c r="DQ124" s="427"/>
      <c r="DR124" s="427"/>
      <c r="DS124" s="427"/>
      <c r="DT124" s="427"/>
      <c r="DU124" s="427"/>
      <c r="DV124" s="427"/>
      <c r="DW124" s="427"/>
      <c r="DX124" s="427"/>
      <c r="DY124" s="427"/>
      <c r="DZ124" s="427"/>
      <c r="EA124" s="427"/>
      <c r="EB124" s="427"/>
      <c r="EC124" s="427"/>
      <c r="ED124" s="427"/>
      <c r="EE124" s="427"/>
      <c r="EF124" s="427"/>
      <c r="EG124" s="427"/>
      <c r="EH124" s="427"/>
      <c r="EI124" s="427"/>
      <c r="EJ124" s="427"/>
      <c r="EK124" s="427"/>
      <c r="EL124" s="427"/>
      <c r="EM124" s="427"/>
      <c r="EN124" s="427"/>
      <c r="EO124" s="427"/>
      <c r="EP124" s="427"/>
      <c r="EQ124" s="427"/>
      <c r="ER124" s="427"/>
      <c r="ES124" s="427"/>
      <c r="ET124" s="427"/>
      <c r="EU124" s="427"/>
      <c r="EV124" s="427"/>
      <c r="EW124" s="427"/>
      <c r="EX124" s="427"/>
      <c r="EY124" s="427"/>
      <c r="EZ124" s="427"/>
      <c r="FA124" s="427"/>
      <c r="FB124" s="427"/>
      <c r="FC124" s="427"/>
      <c r="FD124" s="427"/>
      <c r="FE124" s="427"/>
      <c r="FF124" s="427"/>
      <c r="FG124" s="427"/>
      <c r="FH124" s="427"/>
      <c r="FI124" s="427"/>
      <c r="FJ124" s="427"/>
      <c r="FK124" s="427"/>
      <c r="FL124" s="427"/>
      <c r="FM124" s="427"/>
      <c r="FN124" s="427"/>
      <c r="FO124" s="427"/>
      <c r="FP124" s="427"/>
      <c r="FQ124" s="427"/>
      <c r="FR124" s="427"/>
      <c r="FS124" s="427"/>
      <c r="FT124" s="427"/>
      <c r="FU124" s="427"/>
      <c r="FV124" s="427"/>
      <c r="FW124" s="427"/>
      <c r="FX124" s="427"/>
      <c r="FY124" s="427"/>
      <c r="FZ124" s="427"/>
      <c r="GA124" s="427"/>
      <c r="GB124" s="427"/>
      <c r="GC124" s="427"/>
      <c r="GD124" s="427"/>
      <c r="GE124" s="427"/>
      <c r="GF124" s="427"/>
      <c r="GG124" s="427"/>
      <c r="GH124" s="427"/>
      <c r="GI124" s="427"/>
      <c r="GJ124" s="427"/>
      <c r="GK124" s="427"/>
      <c r="GL124" s="427"/>
    </row>
    <row r="125" spans="1:194" s="393" customFormat="1" ht="27.75" customHeight="1" hidden="1" thickBot="1">
      <c r="A125" s="386"/>
      <c r="B125" s="465"/>
      <c r="C125" s="465"/>
      <c r="D125" s="465"/>
      <c r="E125" s="465"/>
      <c r="F125" s="465"/>
      <c r="G125" s="465"/>
      <c r="H125" s="465"/>
      <c r="I125" s="465"/>
      <c r="J125" s="465"/>
      <c r="K125" s="465"/>
      <c r="L125" s="465"/>
      <c r="M125" s="465"/>
      <c r="N125" s="386"/>
      <c r="O125" s="386"/>
      <c r="P125" s="386"/>
      <c r="Q125" s="386"/>
      <c r="R125" s="386"/>
      <c r="S125" s="386"/>
      <c r="T125" s="386"/>
      <c r="U125" s="386"/>
      <c r="V125" s="386"/>
      <c r="W125" s="386"/>
      <c r="X125" s="386"/>
      <c r="Y125" s="386"/>
      <c r="Z125" s="386"/>
      <c r="AA125" s="404">
        <v>40</v>
      </c>
      <c r="AB125" s="388">
        <v>20110</v>
      </c>
      <c r="AC125" s="434">
        <v>10285</v>
      </c>
      <c r="AD125" s="435">
        <v>10565</v>
      </c>
      <c r="AE125" s="388">
        <v>20110</v>
      </c>
      <c r="AF125" s="388">
        <v>20680</v>
      </c>
      <c r="AG125" s="388">
        <v>21250</v>
      </c>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c r="BO125" s="386"/>
      <c r="BP125" s="386"/>
      <c r="BQ125" s="386"/>
      <c r="BR125" s="386"/>
      <c r="BS125" s="386"/>
      <c r="BT125" s="386"/>
      <c r="BU125" s="386"/>
      <c r="BV125" s="386"/>
      <c r="BW125" s="386"/>
      <c r="BX125" s="386"/>
      <c r="BY125" s="386"/>
      <c r="BZ125" s="386"/>
      <c r="CA125" s="386"/>
      <c r="CB125" s="386"/>
      <c r="CC125" s="386"/>
      <c r="CD125" s="386"/>
      <c r="CE125" s="386"/>
      <c r="CF125" s="386"/>
      <c r="CG125" s="386"/>
      <c r="CH125" s="386"/>
      <c r="CI125" s="386"/>
      <c r="CJ125" s="386"/>
      <c r="CK125" s="386"/>
      <c r="CL125" s="386"/>
      <c r="CM125" s="386"/>
      <c r="CN125" s="386"/>
      <c r="CO125" s="386"/>
      <c r="CP125" s="386"/>
      <c r="CQ125" s="386"/>
      <c r="CR125" s="386"/>
      <c r="CS125" s="386"/>
      <c r="CT125" s="386"/>
      <c r="CU125" s="386"/>
      <c r="CV125" s="386"/>
      <c r="CW125" s="386"/>
      <c r="CX125" s="386"/>
      <c r="CY125" s="386"/>
      <c r="CZ125" s="386"/>
      <c r="DA125" s="386"/>
      <c r="DB125" s="386"/>
      <c r="DC125" s="386"/>
      <c r="DD125" s="386"/>
      <c r="DE125" s="386"/>
      <c r="DF125" s="386"/>
      <c r="DG125" s="386"/>
      <c r="DH125" s="386"/>
      <c r="DI125" s="386"/>
      <c r="DJ125" s="386"/>
      <c r="DK125" s="386"/>
      <c r="DL125" s="386"/>
      <c r="DM125" s="386"/>
      <c r="DN125" s="386"/>
      <c r="DO125" s="386"/>
      <c r="DP125" s="386"/>
      <c r="DQ125" s="386"/>
      <c r="DR125" s="386"/>
      <c r="DS125" s="386"/>
      <c r="DT125" s="386"/>
      <c r="DU125" s="386"/>
      <c r="DV125" s="386"/>
      <c r="DW125" s="386"/>
      <c r="DX125" s="386"/>
      <c r="DY125" s="386"/>
      <c r="DZ125" s="386"/>
      <c r="EA125" s="386"/>
      <c r="EB125" s="386"/>
      <c r="EC125" s="386"/>
      <c r="ED125" s="386"/>
      <c r="EE125" s="386"/>
      <c r="EF125" s="386"/>
      <c r="EG125" s="386"/>
      <c r="EH125" s="386"/>
      <c r="EI125" s="386"/>
      <c r="EJ125" s="386"/>
      <c r="EK125" s="386"/>
      <c r="EL125" s="386"/>
      <c r="EM125" s="386"/>
      <c r="EN125" s="386"/>
      <c r="EO125" s="386"/>
      <c r="EP125" s="386"/>
      <c r="EQ125" s="386"/>
      <c r="ER125" s="386"/>
      <c r="ES125" s="386"/>
      <c r="ET125" s="386"/>
      <c r="EU125" s="386"/>
      <c r="EV125" s="386"/>
      <c r="EW125" s="386"/>
      <c r="EX125" s="386"/>
      <c r="EY125" s="386"/>
      <c r="EZ125" s="386"/>
      <c r="FA125" s="386"/>
      <c r="FB125" s="386"/>
      <c r="FC125" s="386"/>
      <c r="FD125" s="386"/>
      <c r="FE125" s="386"/>
      <c r="FF125" s="386"/>
      <c r="FG125" s="386"/>
      <c r="FH125" s="386"/>
      <c r="FI125" s="386"/>
      <c r="FJ125" s="386"/>
      <c r="FK125" s="386"/>
      <c r="FL125" s="386"/>
      <c r="FM125" s="386"/>
      <c r="FN125" s="386"/>
      <c r="FO125" s="386"/>
      <c r="FP125" s="386"/>
      <c r="FQ125" s="386"/>
      <c r="FR125" s="386"/>
      <c r="FS125" s="386"/>
      <c r="FT125" s="386"/>
      <c r="FU125" s="386"/>
      <c r="FV125" s="386"/>
      <c r="FW125" s="386"/>
      <c r="FX125" s="386"/>
      <c r="FY125" s="386"/>
      <c r="FZ125" s="386"/>
      <c r="GA125" s="386"/>
      <c r="GB125" s="386"/>
      <c r="GC125" s="386"/>
      <c r="GD125" s="386"/>
      <c r="GE125" s="386"/>
      <c r="GF125" s="386"/>
      <c r="GG125" s="386"/>
      <c r="GH125" s="386"/>
      <c r="GI125" s="386"/>
      <c r="GJ125" s="386"/>
      <c r="GK125" s="386"/>
      <c r="GL125" s="386"/>
    </row>
    <row r="126" spans="1:194" s="393" customFormat="1" ht="27.75" customHeight="1" hidden="1">
      <c r="A126" s="386"/>
      <c r="B126" s="465"/>
      <c r="C126" s="465"/>
      <c r="D126" s="465"/>
      <c r="E126" s="465"/>
      <c r="F126" s="465"/>
      <c r="G126" s="465"/>
      <c r="H126" s="465"/>
      <c r="I126" s="465"/>
      <c r="J126" s="465"/>
      <c r="K126" s="465"/>
      <c r="L126" s="465"/>
      <c r="M126" s="465"/>
      <c r="N126" s="386"/>
      <c r="O126" s="386"/>
      <c r="P126" s="386"/>
      <c r="Q126" s="386"/>
      <c r="R126" s="386"/>
      <c r="S126" s="386"/>
      <c r="T126" s="386"/>
      <c r="U126" s="386"/>
      <c r="V126" s="386"/>
      <c r="W126" s="386"/>
      <c r="X126" s="386"/>
      <c r="Y126" s="386"/>
      <c r="Z126" s="386"/>
      <c r="AA126" s="404">
        <v>41</v>
      </c>
      <c r="AB126" s="388">
        <v>20680</v>
      </c>
      <c r="AC126" s="435">
        <v>10565</v>
      </c>
      <c r="AD126" s="433">
        <v>10845</v>
      </c>
      <c r="AE126" s="388">
        <v>20680</v>
      </c>
      <c r="AF126" s="388">
        <v>21250</v>
      </c>
      <c r="AG126" s="388">
        <v>21820</v>
      </c>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c r="CI126" s="386"/>
      <c r="CJ126" s="386"/>
      <c r="CK126" s="386"/>
      <c r="CL126" s="386"/>
      <c r="CM126" s="386"/>
      <c r="CN126" s="386"/>
      <c r="CO126" s="386"/>
      <c r="CP126" s="386"/>
      <c r="CQ126" s="386"/>
      <c r="CR126" s="386"/>
      <c r="CS126" s="386"/>
      <c r="CT126" s="386"/>
      <c r="CU126" s="386"/>
      <c r="CV126" s="386"/>
      <c r="CW126" s="386"/>
      <c r="CX126" s="386"/>
      <c r="CY126" s="386"/>
      <c r="CZ126" s="386"/>
      <c r="DA126" s="386"/>
      <c r="DB126" s="386"/>
      <c r="DC126" s="386"/>
      <c r="DD126" s="386"/>
      <c r="DE126" s="386"/>
      <c r="DF126" s="386"/>
      <c r="DG126" s="386"/>
      <c r="DH126" s="386"/>
      <c r="DI126" s="386"/>
      <c r="DJ126" s="386"/>
      <c r="DK126" s="386"/>
      <c r="DL126" s="386"/>
      <c r="DM126" s="386"/>
      <c r="DN126" s="386"/>
      <c r="DO126" s="386"/>
      <c r="DP126" s="386"/>
      <c r="DQ126" s="386"/>
      <c r="DR126" s="386"/>
      <c r="DS126" s="386"/>
      <c r="DT126" s="386"/>
      <c r="DU126" s="386"/>
      <c r="DV126" s="386"/>
      <c r="DW126" s="386"/>
      <c r="DX126" s="386"/>
      <c r="DY126" s="386"/>
      <c r="DZ126" s="386"/>
      <c r="EA126" s="386"/>
      <c r="EB126" s="386"/>
      <c r="EC126" s="386"/>
      <c r="ED126" s="386"/>
      <c r="EE126" s="386"/>
      <c r="EF126" s="386"/>
      <c r="EG126" s="386"/>
      <c r="EH126" s="386"/>
      <c r="EI126" s="386"/>
      <c r="EJ126" s="386"/>
      <c r="EK126" s="386"/>
      <c r="EL126" s="386"/>
      <c r="EM126" s="386"/>
      <c r="EN126" s="386"/>
      <c r="EO126" s="386"/>
      <c r="EP126" s="386"/>
      <c r="EQ126" s="386"/>
      <c r="ER126" s="386"/>
      <c r="ES126" s="386"/>
      <c r="ET126" s="386"/>
      <c r="EU126" s="386"/>
      <c r="EV126" s="386"/>
      <c r="EW126" s="386"/>
      <c r="EX126" s="386"/>
      <c r="EY126" s="386"/>
      <c r="EZ126" s="386"/>
      <c r="FA126" s="386"/>
      <c r="FB126" s="386"/>
      <c r="FC126" s="386"/>
      <c r="FD126" s="386"/>
      <c r="FE126" s="386"/>
      <c r="FF126" s="386"/>
      <c r="FG126" s="386"/>
      <c r="FH126" s="386"/>
      <c r="FI126" s="386"/>
      <c r="FJ126" s="386"/>
      <c r="FK126" s="386"/>
      <c r="FL126" s="386"/>
      <c r="FM126" s="386"/>
      <c r="FN126" s="386"/>
      <c r="FO126" s="386"/>
      <c r="FP126" s="386"/>
      <c r="FQ126" s="386"/>
      <c r="FR126" s="386"/>
      <c r="FS126" s="386"/>
      <c r="FT126" s="386"/>
      <c r="FU126" s="386"/>
      <c r="FV126" s="386"/>
      <c r="FW126" s="386"/>
      <c r="FX126" s="386"/>
      <c r="FY126" s="386"/>
      <c r="FZ126" s="386"/>
      <c r="GA126" s="386"/>
      <c r="GB126" s="386"/>
      <c r="GC126" s="386"/>
      <c r="GD126" s="386"/>
      <c r="GE126" s="386"/>
      <c r="GF126" s="386"/>
      <c r="GG126" s="386"/>
      <c r="GH126" s="386"/>
      <c r="GI126" s="386"/>
      <c r="GJ126" s="386"/>
      <c r="GK126" s="386"/>
      <c r="GL126" s="386"/>
    </row>
    <row r="127" spans="1:194" s="393" customFormat="1" ht="27.75" customHeight="1" hidden="1">
      <c r="A127" s="386"/>
      <c r="B127" s="465"/>
      <c r="C127" s="465"/>
      <c r="D127" s="465"/>
      <c r="E127" s="465"/>
      <c r="F127" s="465"/>
      <c r="G127" s="465"/>
      <c r="H127" s="465"/>
      <c r="I127" s="465"/>
      <c r="J127" s="465"/>
      <c r="K127" s="465"/>
      <c r="L127" s="465"/>
      <c r="M127" s="465"/>
      <c r="N127" s="386"/>
      <c r="O127" s="386"/>
      <c r="P127" s="386"/>
      <c r="Q127" s="386"/>
      <c r="R127" s="386"/>
      <c r="S127" s="386"/>
      <c r="T127" s="386"/>
      <c r="U127" s="386"/>
      <c r="V127" s="386"/>
      <c r="W127" s="386"/>
      <c r="X127" s="386"/>
      <c r="Y127" s="386"/>
      <c r="Z127" s="386"/>
      <c r="AA127" s="404">
        <v>42</v>
      </c>
      <c r="AB127" s="388">
        <v>21250</v>
      </c>
      <c r="AC127" s="433">
        <v>10845</v>
      </c>
      <c r="AD127" s="433">
        <v>11125</v>
      </c>
      <c r="AE127" s="388">
        <v>21250</v>
      </c>
      <c r="AF127" s="388">
        <v>21820</v>
      </c>
      <c r="AG127" s="388">
        <v>22430</v>
      </c>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c r="CI127" s="386"/>
      <c r="CJ127" s="386"/>
      <c r="CK127" s="386"/>
      <c r="CL127" s="386"/>
      <c r="CM127" s="386"/>
      <c r="CN127" s="386"/>
      <c r="CO127" s="386"/>
      <c r="CP127" s="386"/>
      <c r="CQ127" s="386"/>
      <c r="CR127" s="386"/>
      <c r="CS127" s="386"/>
      <c r="CT127" s="386"/>
      <c r="CU127" s="386"/>
      <c r="CV127" s="386"/>
      <c r="CW127" s="386"/>
      <c r="CX127" s="386"/>
      <c r="CY127" s="386"/>
      <c r="CZ127" s="386"/>
      <c r="DA127" s="386"/>
      <c r="DB127" s="386"/>
      <c r="DC127" s="386"/>
      <c r="DD127" s="386"/>
      <c r="DE127" s="386"/>
      <c r="DF127" s="386"/>
      <c r="DG127" s="386"/>
      <c r="DH127" s="386"/>
      <c r="DI127" s="386"/>
      <c r="DJ127" s="386"/>
      <c r="DK127" s="386"/>
      <c r="DL127" s="386"/>
      <c r="DM127" s="386"/>
      <c r="DN127" s="386"/>
      <c r="DO127" s="386"/>
      <c r="DP127" s="386"/>
      <c r="DQ127" s="386"/>
      <c r="DR127" s="386"/>
      <c r="DS127" s="386"/>
      <c r="DT127" s="386"/>
      <c r="DU127" s="386"/>
      <c r="DV127" s="386"/>
      <c r="DW127" s="386"/>
      <c r="DX127" s="386"/>
      <c r="DY127" s="386"/>
      <c r="DZ127" s="386"/>
      <c r="EA127" s="386"/>
      <c r="EB127" s="386"/>
      <c r="EC127" s="386"/>
      <c r="ED127" s="386"/>
      <c r="EE127" s="386"/>
      <c r="EF127" s="386"/>
      <c r="EG127" s="386"/>
      <c r="EH127" s="386"/>
      <c r="EI127" s="386"/>
      <c r="EJ127" s="386"/>
      <c r="EK127" s="386"/>
      <c r="EL127" s="386"/>
      <c r="EM127" s="386"/>
      <c r="EN127" s="386"/>
      <c r="EO127" s="386"/>
      <c r="EP127" s="386"/>
      <c r="EQ127" s="386"/>
      <c r="ER127" s="386"/>
      <c r="ES127" s="386"/>
      <c r="ET127" s="386"/>
      <c r="EU127" s="386"/>
      <c r="EV127" s="386"/>
      <c r="EW127" s="386"/>
      <c r="EX127" s="386"/>
      <c r="EY127" s="386"/>
      <c r="EZ127" s="386"/>
      <c r="FA127" s="386"/>
      <c r="FB127" s="386"/>
      <c r="FC127" s="386"/>
      <c r="FD127" s="386"/>
      <c r="FE127" s="386"/>
      <c r="FF127" s="386"/>
      <c r="FG127" s="386"/>
      <c r="FH127" s="386"/>
      <c r="FI127" s="386"/>
      <c r="FJ127" s="386"/>
      <c r="FK127" s="386"/>
      <c r="FL127" s="386"/>
      <c r="FM127" s="386"/>
      <c r="FN127" s="386"/>
      <c r="FO127" s="386"/>
      <c r="FP127" s="386"/>
      <c r="FQ127" s="386"/>
      <c r="FR127" s="386"/>
      <c r="FS127" s="386"/>
      <c r="FT127" s="386"/>
      <c r="FU127" s="386"/>
      <c r="FV127" s="386"/>
      <c r="FW127" s="386"/>
      <c r="FX127" s="386"/>
      <c r="FY127" s="386"/>
      <c r="FZ127" s="386"/>
      <c r="GA127" s="386"/>
      <c r="GB127" s="386"/>
      <c r="GC127" s="386"/>
      <c r="GD127" s="386"/>
      <c r="GE127" s="386"/>
      <c r="GF127" s="386"/>
      <c r="GG127" s="386"/>
      <c r="GH127" s="386"/>
      <c r="GI127" s="386"/>
      <c r="GJ127" s="386"/>
      <c r="GK127" s="386"/>
      <c r="GL127" s="386"/>
    </row>
    <row r="128" spans="1:194" s="393" customFormat="1" ht="27.75" customHeight="1" hidden="1">
      <c r="A128" s="386"/>
      <c r="B128" s="465"/>
      <c r="C128" s="465"/>
      <c r="D128" s="465"/>
      <c r="E128" s="465"/>
      <c r="F128" s="465"/>
      <c r="G128" s="465"/>
      <c r="H128" s="465"/>
      <c r="I128" s="465"/>
      <c r="J128" s="465"/>
      <c r="K128" s="465"/>
      <c r="L128" s="465"/>
      <c r="M128" s="465"/>
      <c r="N128" s="386"/>
      <c r="O128" s="386"/>
      <c r="P128" s="386"/>
      <c r="Q128" s="386"/>
      <c r="R128" s="386"/>
      <c r="S128" s="386"/>
      <c r="T128" s="386"/>
      <c r="U128" s="386"/>
      <c r="V128" s="386"/>
      <c r="W128" s="386"/>
      <c r="X128" s="386"/>
      <c r="Y128" s="386"/>
      <c r="Z128" s="386"/>
      <c r="AA128" s="404">
        <v>43</v>
      </c>
      <c r="AB128" s="388">
        <v>21820</v>
      </c>
      <c r="AC128" s="433">
        <v>11125</v>
      </c>
      <c r="AD128" s="433">
        <v>11440</v>
      </c>
      <c r="AE128" s="388">
        <v>21820</v>
      </c>
      <c r="AF128" s="388">
        <v>22430</v>
      </c>
      <c r="AG128" s="388">
        <v>23040</v>
      </c>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6"/>
      <c r="BF128" s="386"/>
      <c r="BG128" s="386"/>
      <c r="BH128" s="386"/>
      <c r="BI128" s="386"/>
      <c r="BJ128" s="386"/>
      <c r="BK128" s="386"/>
      <c r="BL128" s="386"/>
      <c r="BM128" s="386"/>
      <c r="BN128" s="386"/>
      <c r="BO128" s="386"/>
      <c r="BP128" s="386"/>
      <c r="BQ128" s="386"/>
      <c r="BR128" s="386"/>
      <c r="BS128" s="386"/>
      <c r="BT128" s="386"/>
      <c r="BU128" s="386"/>
      <c r="BV128" s="386"/>
      <c r="BW128" s="386"/>
      <c r="BX128" s="386"/>
      <c r="BY128" s="386"/>
      <c r="BZ128" s="386"/>
      <c r="CA128" s="386"/>
      <c r="CB128" s="386"/>
      <c r="CC128" s="386"/>
      <c r="CD128" s="386"/>
      <c r="CE128" s="386"/>
      <c r="CF128" s="386"/>
      <c r="CG128" s="386"/>
      <c r="CH128" s="386"/>
      <c r="CI128" s="386"/>
      <c r="CJ128" s="386"/>
      <c r="CK128" s="386"/>
      <c r="CL128" s="386"/>
      <c r="CM128" s="386"/>
      <c r="CN128" s="386"/>
      <c r="CO128" s="386"/>
      <c r="CP128" s="386"/>
      <c r="CQ128" s="386"/>
      <c r="CR128" s="386"/>
      <c r="CS128" s="386"/>
      <c r="CT128" s="386"/>
      <c r="CU128" s="386"/>
      <c r="CV128" s="386"/>
      <c r="CW128" s="386"/>
      <c r="CX128" s="386"/>
      <c r="CY128" s="386"/>
      <c r="CZ128" s="386"/>
      <c r="DA128" s="386"/>
      <c r="DB128" s="386"/>
      <c r="DC128" s="386"/>
      <c r="DD128" s="386"/>
      <c r="DE128" s="386"/>
      <c r="DF128" s="386"/>
      <c r="DG128" s="386"/>
      <c r="DH128" s="386"/>
      <c r="DI128" s="386"/>
      <c r="DJ128" s="386"/>
      <c r="DK128" s="386"/>
      <c r="DL128" s="386"/>
      <c r="DM128" s="386"/>
      <c r="DN128" s="386"/>
      <c r="DO128" s="386"/>
      <c r="DP128" s="386"/>
      <c r="DQ128" s="386"/>
      <c r="DR128" s="386"/>
      <c r="DS128" s="386"/>
      <c r="DT128" s="386"/>
      <c r="DU128" s="386"/>
      <c r="DV128" s="386"/>
      <c r="DW128" s="386"/>
      <c r="DX128" s="386"/>
      <c r="DY128" s="386"/>
      <c r="DZ128" s="386"/>
      <c r="EA128" s="386"/>
      <c r="EB128" s="386"/>
      <c r="EC128" s="386"/>
      <c r="ED128" s="386"/>
      <c r="EE128" s="386"/>
      <c r="EF128" s="386"/>
      <c r="EG128" s="386"/>
      <c r="EH128" s="386"/>
      <c r="EI128" s="386"/>
      <c r="EJ128" s="386"/>
      <c r="EK128" s="386"/>
      <c r="EL128" s="386"/>
      <c r="EM128" s="386"/>
      <c r="EN128" s="386"/>
      <c r="EO128" s="386"/>
      <c r="EP128" s="386"/>
      <c r="EQ128" s="386"/>
      <c r="ER128" s="386"/>
      <c r="ES128" s="386"/>
      <c r="ET128" s="386"/>
      <c r="EU128" s="386"/>
      <c r="EV128" s="386"/>
      <c r="EW128" s="386"/>
      <c r="EX128" s="386"/>
      <c r="EY128" s="386"/>
      <c r="EZ128" s="386"/>
      <c r="FA128" s="386"/>
      <c r="FB128" s="386"/>
      <c r="FC128" s="386"/>
      <c r="FD128" s="386"/>
      <c r="FE128" s="386"/>
      <c r="FF128" s="386"/>
      <c r="FG128" s="386"/>
      <c r="FH128" s="386"/>
      <c r="FI128" s="386"/>
      <c r="FJ128" s="386"/>
      <c r="FK128" s="386"/>
      <c r="FL128" s="386"/>
      <c r="FM128" s="386"/>
      <c r="FN128" s="386"/>
      <c r="FO128" s="386"/>
      <c r="FP128" s="386"/>
      <c r="FQ128" s="386"/>
      <c r="FR128" s="386"/>
      <c r="FS128" s="386"/>
      <c r="FT128" s="386"/>
      <c r="FU128" s="386"/>
      <c r="FV128" s="386"/>
      <c r="FW128" s="386"/>
      <c r="FX128" s="386"/>
      <c r="FY128" s="386"/>
      <c r="FZ128" s="386"/>
      <c r="GA128" s="386"/>
      <c r="GB128" s="386"/>
      <c r="GC128" s="386"/>
      <c r="GD128" s="386"/>
      <c r="GE128" s="386"/>
      <c r="GF128" s="386"/>
      <c r="GG128" s="386"/>
      <c r="GH128" s="386"/>
      <c r="GI128" s="386"/>
      <c r="GJ128" s="386"/>
      <c r="GK128" s="386"/>
      <c r="GL128" s="386"/>
    </row>
    <row r="129" spans="1:194" s="393" customFormat="1" ht="27.75" customHeight="1" hidden="1">
      <c r="A129" s="386"/>
      <c r="B129" s="465"/>
      <c r="C129" s="465"/>
      <c r="D129" s="465"/>
      <c r="E129" s="465"/>
      <c r="F129" s="465"/>
      <c r="G129" s="465"/>
      <c r="H129" s="465"/>
      <c r="I129" s="465"/>
      <c r="J129" s="465"/>
      <c r="K129" s="465"/>
      <c r="L129" s="465"/>
      <c r="M129" s="465"/>
      <c r="N129" s="386"/>
      <c r="O129" s="386"/>
      <c r="P129" s="386"/>
      <c r="Q129" s="386"/>
      <c r="R129" s="386"/>
      <c r="S129" s="386"/>
      <c r="T129" s="386"/>
      <c r="U129" s="386"/>
      <c r="V129" s="386"/>
      <c r="W129" s="386"/>
      <c r="X129" s="386"/>
      <c r="Y129" s="386"/>
      <c r="Z129" s="386"/>
      <c r="AA129" s="404">
        <v>44</v>
      </c>
      <c r="AB129" s="388">
        <v>22430</v>
      </c>
      <c r="AC129" s="433">
        <v>11440</v>
      </c>
      <c r="AD129" s="433">
        <v>11755</v>
      </c>
      <c r="AE129" s="388">
        <v>22430</v>
      </c>
      <c r="AF129" s="388">
        <v>23040</v>
      </c>
      <c r="AG129" s="388">
        <v>23650</v>
      </c>
      <c r="AH129" s="386"/>
      <c r="AI129" s="386"/>
      <c r="AJ129" s="386"/>
      <c r="AK129" s="386"/>
      <c r="AL129" s="386"/>
      <c r="AM129" s="386"/>
      <c r="AN129" s="386"/>
      <c r="AO129" s="386"/>
      <c r="AP129" s="386"/>
      <c r="AQ129" s="386"/>
      <c r="AR129" s="386"/>
      <c r="AS129" s="386"/>
      <c r="AT129" s="386"/>
      <c r="AU129" s="386"/>
      <c r="AV129" s="386"/>
      <c r="AW129" s="386"/>
      <c r="AX129" s="386"/>
      <c r="AY129" s="386"/>
      <c r="AZ129" s="386"/>
      <c r="BA129" s="386"/>
      <c r="BB129" s="386"/>
      <c r="BC129" s="386"/>
      <c r="BD129" s="386"/>
      <c r="BE129" s="386"/>
      <c r="BF129" s="386"/>
      <c r="BG129" s="386"/>
      <c r="BH129" s="386"/>
      <c r="BI129" s="386"/>
      <c r="BJ129" s="386"/>
      <c r="BK129" s="386"/>
      <c r="BL129" s="386"/>
      <c r="BM129" s="386"/>
      <c r="BN129" s="386"/>
      <c r="BO129" s="386"/>
      <c r="BP129" s="386"/>
      <c r="BQ129" s="386"/>
      <c r="BR129" s="386"/>
      <c r="BS129" s="386"/>
      <c r="BT129" s="386"/>
      <c r="BU129" s="386"/>
      <c r="BV129" s="386"/>
      <c r="BW129" s="386"/>
      <c r="BX129" s="386"/>
      <c r="BY129" s="386"/>
      <c r="BZ129" s="386"/>
      <c r="CA129" s="386"/>
      <c r="CB129" s="386"/>
      <c r="CC129" s="386"/>
      <c r="CD129" s="386"/>
      <c r="CE129" s="386"/>
      <c r="CF129" s="386"/>
      <c r="CG129" s="386"/>
      <c r="CH129" s="386"/>
      <c r="CI129" s="386"/>
      <c r="CJ129" s="386"/>
      <c r="CK129" s="386"/>
      <c r="CL129" s="386"/>
      <c r="CM129" s="386"/>
      <c r="CN129" s="386"/>
      <c r="CO129" s="386"/>
      <c r="CP129" s="386"/>
      <c r="CQ129" s="386"/>
      <c r="CR129" s="386"/>
      <c r="CS129" s="386"/>
      <c r="CT129" s="386"/>
      <c r="CU129" s="386"/>
      <c r="CV129" s="386"/>
      <c r="CW129" s="386"/>
      <c r="CX129" s="386"/>
      <c r="CY129" s="386"/>
      <c r="CZ129" s="386"/>
      <c r="DA129" s="386"/>
      <c r="DB129" s="386"/>
      <c r="DC129" s="386"/>
      <c r="DD129" s="386"/>
      <c r="DE129" s="386"/>
      <c r="DF129" s="386"/>
      <c r="DG129" s="386"/>
      <c r="DH129" s="386"/>
      <c r="DI129" s="386"/>
      <c r="DJ129" s="386"/>
      <c r="DK129" s="386"/>
      <c r="DL129" s="386"/>
      <c r="DM129" s="386"/>
      <c r="DN129" s="386"/>
      <c r="DO129" s="386"/>
      <c r="DP129" s="386"/>
      <c r="DQ129" s="386"/>
      <c r="DR129" s="386"/>
      <c r="DS129" s="386"/>
      <c r="DT129" s="386"/>
      <c r="DU129" s="386"/>
      <c r="DV129" s="386"/>
      <c r="DW129" s="386"/>
      <c r="DX129" s="386"/>
      <c r="DY129" s="386"/>
      <c r="DZ129" s="386"/>
      <c r="EA129" s="386"/>
      <c r="EB129" s="386"/>
      <c r="EC129" s="386"/>
      <c r="ED129" s="386"/>
      <c r="EE129" s="386"/>
      <c r="EF129" s="386"/>
      <c r="EG129" s="386"/>
      <c r="EH129" s="386"/>
      <c r="EI129" s="386"/>
      <c r="EJ129" s="386"/>
      <c r="EK129" s="386"/>
      <c r="EL129" s="386"/>
      <c r="EM129" s="386"/>
      <c r="EN129" s="386"/>
      <c r="EO129" s="386"/>
      <c r="EP129" s="386"/>
      <c r="EQ129" s="386"/>
      <c r="ER129" s="386"/>
      <c r="ES129" s="386"/>
      <c r="ET129" s="386"/>
      <c r="EU129" s="386"/>
      <c r="EV129" s="386"/>
      <c r="EW129" s="386"/>
      <c r="EX129" s="386"/>
      <c r="EY129" s="386"/>
      <c r="EZ129" s="386"/>
      <c r="FA129" s="386"/>
      <c r="FB129" s="386"/>
      <c r="FC129" s="386"/>
      <c r="FD129" s="386"/>
      <c r="FE129" s="386"/>
      <c r="FF129" s="386"/>
      <c r="FG129" s="386"/>
      <c r="FH129" s="386"/>
      <c r="FI129" s="386"/>
      <c r="FJ129" s="386"/>
      <c r="FK129" s="386"/>
      <c r="FL129" s="386"/>
      <c r="FM129" s="386"/>
      <c r="FN129" s="386"/>
      <c r="FO129" s="386"/>
      <c r="FP129" s="386"/>
      <c r="FQ129" s="386"/>
      <c r="FR129" s="386"/>
      <c r="FS129" s="386"/>
      <c r="FT129" s="386"/>
      <c r="FU129" s="386"/>
      <c r="FV129" s="386"/>
      <c r="FW129" s="386"/>
      <c r="FX129" s="386"/>
      <c r="FY129" s="386"/>
      <c r="FZ129" s="386"/>
      <c r="GA129" s="386"/>
      <c r="GB129" s="386"/>
      <c r="GC129" s="386"/>
      <c r="GD129" s="386"/>
      <c r="GE129" s="386"/>
      <c r="GF129" s="386"/>
      <c r="GG129" s="386"/>
      <c r="GH129" s="386"/>
      <c r="GI129" s="386"/>
      <c r="GJ129" s="386"/>
      <c r="GK129" s="386"/>
      <c r="GL129" s="386"/>
    </row>
    <row r="130" spans="1:194" s="393" customFormat="1" ht="27.75" customHeight="1" hidden="1">
      <c r="A130" s="386"/>
      <c r="B130" s="465"/>
      <c r="C130" s="465"/>
      <c r="D130" s="465"/>
      <c r="E130" s="465"/>
      <c r="F130" s="465"/>
      <c r="G130" s="465"/>
      <c r="H130" s="465"/>
      <c r="I130" s="465"/>
      <c r="J130" s="465"/>
      <c r="K130" s="465"/>
      <c r="L130" s="465"/>
      <c r="M130" s="465"/>
      <c r="N130" s="386"/>
      <c r="O130" s="386"/>
      <c r="P130" s="386"/>
      <c r="Q130" s="386"/>
      <c r="R130" s="386"/>
      <c r="S130" s="386"/>
      <c r="T130" s="386"/>
      <c r="U130" s="386"/>
      <c r="V130" s="386"/>
      <c r="W130" s="386"/>
      <c r="X130" s="386"/>
      <c r="Y130" s="386"/>
      <c r="Z130" s="386"/>
      <c r="AA130" s="404">
        <v>45</v>
      </c>
      <c r="AB130" s="388">
        <v>23040</v>
      </c>
      <c r="AC130" s="433">
        <v>11755</v>
      </c>
      <c r="AD130" s="433">
        <v>12070</v>
      </c>
      <c r="AE130" s="388">
        <v>23040</v>
      </c>
      <c r="AF130" s="388">
        <v>23650</v>
      </c>
      <c r="AG130" s="388">
        <v>24300</v>
      </c>
      <c r="AH130" s="386"/>
      <c r="AI130" s="386"/>
      <c r="AJ130" s="386"/>
      <c r="AK130" s="386"/>
      <c r="AL130" s="386"/>
      <c r="AM130" s="386"/>
      <c r="AN130" s="386"/>
      <c r="AO130" s="386"/>
      <c r="AP130" s="386"/>
      <c r="AQ130" s="386"/>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c r="BO130" s="386"/>
      <c r="BP130" s="386"/>
      <c r="BQ130" s="386"/>
      <c r="BR130" s="386"/>
      <c r="BS130" s="386"/>
      <c r="BT130" s="386"/>
      <c r="BU130" s="386"/>
      <c r="BV130" s="386"/>
      <c r="BW130" s="386"/>
      <c r="BX130" s="386"/>
      <c r="BY130" s="386"/>
      <c r="BZ130" s="386"/>
      <c r="CA130" s="386"/>
      <c r="CB130" s="386"/>
      <c r="CC130" s="386"/>
      <c r="CD130" s="386"/>
      <c r="CE130" s="386"/>
      <c r="CF130" s="386"/>
      <c r="CG130" s="386"/>
      <c r="CH130" s="386"/>
      <c r="CI130" s="386"/>
      <c r="CJ130" s="386"/>
      <c r="CK130" s="386"/>
      <c r="CL130" s="386"/>
      <c r="CM130" s="386"/>
      <c r="CN130" s="386"/>
      <c r="CO130" s="386"/>
      <c r="CP130" s="386"/>
      <c r="CQ130" s="386"/>
      <c r="CR130" s="386"/>
      <c r="CS130" s="386"/>
      <c r="CT130" s="386"/>
      <c r="CU130" s="386"/>
      <c r="CV130" s="386"/>
      <c r="CW130" s="386"/>
      <c r="CX130" s="386"/>
      <c r="CY130" s="386"/>
      <c r="CZ130" s="386"/>
      <c r="DA130" s="386"/>
      <c r="DB130" s="386"/>
      <c r="DC130" s="386"/>
      <c r="DD130" s="386"/>
      <c r="DE130" s="386"/>
      <c r="DF130" s="386"/>
      <c r="DG130" s="386"/>
      <c r="DH130" s="386"/>
      <c r="DI130" s="386"/>
      <c r="DJ130" s="386"/>
      <c r="DK130" s="386"/>
      <c r="DL130" s="386"/>
      <c r="DM130" s="386"/>
      <c r="DN130" s="386"/>
      <c r="DO130" s="386"/>
      <c r="DP130" s="386"/>
      <c r="DQ130" s="386"/>
      <c r="DR130" s="386"/>
      <c r="DS130" s="386"/>
      <c r="DT130" s="386"/>
      <c r="DU130" s="386"/>
      <c r="DV130" s="386"/>
      <c r="DW130" s="386"/>
      <c r="DX130" s="386"/>
      <c r="DY130" s="386"/>
      <c r="DZ130" s="386"/>
      <c r="EA130" s="386"/>
      <c r="EB130" s="386"/>
      <c r="EC130" s="386"/>
      <c r="ED130" s="386"/>
      <c r="EE130" s="386"/>
      <c r="EF130" s="386"/>
      <c r="EG130" s="386"/>
      <c r="EH130" s="386"/>
      <c r="EI130" s="386"/>
      <c r="EJ130" s="386"/>
      <c r="EK130" s="386"/>
      <c r="EL130" s="386"/>
      <c r="EM130" s="386"/>
      <c r="EN130" s="386"/>
      <c r="EO130" s="386"/>
      <c r="EP130" s="386"/>
      <c r="EQ130" s="386"/>
      <c r="ER130" s="386"/>
      <c r="ES130" s="386"/>
      <c r="ET130" s="386"/>
      <c r="EU130" s="386"/>
      <c r="EV130" s="386"/>
      <c r="EW130" s="386"/>
      <c r="EX130" s="386"/>
      <c r="EY130" s="386"/>
      <c r="EZ130" s="386"/>
      <c r="FA130" s="386"/>
      <c r="FB130" s="386"/>
      <c r="FC130" s="386"/>
      <c r="FD130" s="386"/>
      <c r="FE130" s="386"/>
      <c r="FF130" s="386"/>
      <c r="FG130" s="386"/>
      <c r="FH130" s="386"/>
      <c r="FI130" s="386"/>
      <c r="FJ130" s="386"/>
      <c r="FK130" s="386"/>
      <c r="FL130" s="386"/>
      <c r="FM130" s="386"/>
      <c r="FN130" s="386"/>
      <c r="FO130" s="386"/>
      <c r="FP130" s="386"/>
      <c r="FQ130" s="386"/>
      <c r="FR130" s="386"/>
      <c r="FS130" s="386"/>
      <c r="FT130" s="386"/>
      <c r="FU130" s="386"/>
      <c r="FV130" s="386"/>
      <c r="FW130" s="386"/>
      <c r="FX130" s="386"/>
      <c r="FY130" s="386"/>
      <c r="FZ130" s="386"/>
      <c r="GA130" s="386"/>
      <c r="GB130" s="386"/>
      <c r="GC130" s="386"/>
      <c r="GD130" s="386"/>
      <c r="GE130" s="386"/>
      <c r="GF130" s="386"/>
      <c r="GG130" s="386"/>
      <c r="GH130" s="386"/>
      <c r="GI130" s="386"/>
      <c r="GJ130" s="386"/>
      <c r="GK130" s="386"/>
      <c r="GL130" s="386"/>
    </row>
    <row r="131" spans="1:194" s="393" customFormat="1" ht="27.75" customHeight="1" hidden="1">
      <c r="A131" s="386"/>
      <c r="B131" s="465"/>
      <c r="C131" s="465"/>
      <c r="D131" s="465"/>
      <c r="E131" s="465"/>
      <c r="F131" s="465"/>
      <c r="G131" s="465"/>
      <c r="H131" s="465"/>
      <c r="I131" s="465"/>
      <c r="J131" s="465"/>
      <c r="K131" s="465"/>
      <c r="L131" s="465"/>
      <c r="M131" s="465"/>
      <c r="N131" s="386"/>
      <c r="O131" s="386"/>
      <c r="P131" s="386"/>
      <c r="Q131" s="386"/>
      <c r="R131" s="386"/>
      <c r="S131" s="386"/>
      <c r="T131" s="386"/>
      <c r="U131" s="386"/>
      <c r="V131" s="386"/>
      <c r="W131" s="386"/>
      <c r="X131" s="386"/>
      <c r="Y131" s="386"/>
      <c r="Z131" s="386"/>
      <c r="AA131" s="404">
        <v>46</v>
      </c>
      <c r="AB131" s="388">
        <v>23650</v>
      </c>
      <c r="AC131" s="433">
        <v>12070</v>
      </c>
      <c r="AD131" s="433">
        <v>12385</v>
      </c>
      <c r="AE131" s="388">
        <v>23650</v>
      </c>
      <c r="AF131" s="388">
        <v>24300</v>
      </c>
      <c r="AG131" s="388">
        <v>24950</v>
      </c>
      <c r="AH131" s="386"/>
      <c r="AI131" s="386"/>
      <c r="AJ131" s="386"/>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386"/>
      <c r="BQ131" s="386"/>
      <c r="BR131" s="386"/>
      <c r="BS131" s="386"/>
      <c r="BT131" s="386"/>
      <c r="BU131" s="386"/>
      <c r="BV131" s="386"/>
      <c r="BW131" s="386"/>
      <c r="BX131" s="386"/>
      <c r="BY131" s="386"/>
      <c r="BZ131" s="386"/>
      <c r="CA131" s="386"/>
      <c r="CB131" s="386"/>
      <c r="CC131" s="386"/>
      <c r="CD131" s="386"/>
      <c r="CE131" s="386"/>
      <c r="CF131" s="386"/>
      <c r="CG131" s="386"/>
      <c r="CH131" s="386"/>
      <c r="CI131" s="386"/>
      <c r="CJ131" s="386"/>
      <c r="CK131" s="386"/>
      <c r="CL131" s="386"/>
      <c r="CM131" s="386"/>
      <c r="CN131" s="386"/>
      <c r="CO131" s="386"/>
      <c r="CP131" s="386"/>
      <c r="CQ131" s="386"/>
      <c r="CR131" s="386"/>
      <c r="CS131" s="386"/>
      <c r="CT131" s="386"/>
      <c r="CU131" s="386"/>
      <c r="CV131" s="386"/>
      <c r="CW131" s="386"/>
      <c r="CX131" s="386"/>
      <c r="CY131" s="386"/>
      <c r="CZ131" s="386"/>
      <c r="DA131" s="386"/>
      <c r="DB131" s="386"/>
      <c r="DC131" s="386"/>
      <c r="DD131" s="386"/>
      <c r="DE131" s="386"/>
      <c r="DF131" s="386"/>
      <c r="DG131" s="386"/>
      <c r="DH131" s="386"/>
      <c r="DI131" s="386"/>
      <c r="DJ131" s="386"/>
      <c r="DK131" s="386"/>
      <c r="DL131" s="386"/>
      <c r="DM131" s="386"/>
      <c r="DN131" s="386"/>
      <c r="DO131" s="386"/>
      <c r="DP131" s="386"/>
      <c r="DQ131" s="386"/>
      <c r="DR131" s="386"/>
      <c r="DS131" s="386"/>
      <c r="DT131" s="386"/>
      <c r="DU131" s="386"/>
      <c r="DV131" s="386"/>
      <c r="DW131" s="386"/>
      <c r="DX131" s="386"/>
      <c r="DY131" s="386"/>
      <c r="DZ131" s="386"/>
      <c r="EA131" s="386"/>
      <c r="EB131" s="386"/>
      <c r="EC131" s="386"/>
      <c r="ED131" s="386"/>
      <c r="EE131" s="386"/>
      <c r="EF131" s="386"/>
      <c r="EG131" s="386"/>
      <c r="EH131" s="386"/>
      <c r="EI131" s="386"/>
      <c r="EJ131" s="386"/>
      <c r="EK131" s="386"/>
      <c r="EL131" s="386"/>
      <c r="EM131" s="386"/>
      <c r="EN131" s="386"/>
      <c r="EO131" s="386"/>
      <c r="EP131" s="386"/>
      <c r="EQ131" s="386"/>
      <c r="ER131" s="386"/>
      <c r="ES131" s="386"/>
      <c r="ET131" s="386"/>
      <c r="EU131" s="386"/>
      <c r="EV131" s="386"/>
      <c r="EW131" s="386"/>
      <c r="EX131" s="386"/>
      <c r="EY131" s="386"/>
      <c r="EZ131" s="386"/>
      <c r="FA131" s="386"/>
      <c r="FB131" s="386"/>
      <c r="FC131" s="386"/>
      <c r="FD131" s="386"/>
      <c r="FE131" s="386"/>
      <c r="FF131" s="386"/>
      <c r="FG131" s="386"/>
      <c r="FH131" s="386"/>
      <c r="FI131" s="386"/>
      <c r="FJ131" s="386"/>
      <c r="FK131" s="386"/>
      <c r="FL131" s="386"/>
      <c r="FM131" s="386"/>
      <c r="FN131" s="386"/>
      <c r="FO131" s="386"/>
      <c r="FP131" s="386"/>
      <c r="FQ131" s="386"/>
      <c r="FR131" s="386"/>
      <c r="FS131" s="386"/>
      <c r="FT131" s="386"/>
      <c r="FU131" s="386"/>
      <c r="FV131" s="386"/>
      <c r="FW131" s="386"/>
      <c r="FX131" s="386"/>
      <c r="FY131" s="386"/>
      <c r="FZ131" s="386"/>
      <c r="GA131" s="386"/>
      <c r="GB131" s="386"/>
      <c r="GC131" s="386"/>
      <c r="GD131" s="386"/>
      <c r="GE131" s="386"/>
      <c r="GF131" s="386"/>
      <c r="GG131" s="386"/>
      <c r="GH131" s="386"/>
      <c r="GI131" s="386"/>
      <c r="GJ131" s="386"/>
      <c r="GK131" s="386"/>
      <c r="GL131" s="386"/>
    </row>
    <row r="132" spans="1:194" s="393" customFormat="1" ht="27.75" customHeight="1" hidden="1">
      <c r="A132" s="386"/>
      <c r="B132" s="465"/>
      <c r="C132" s="465"/>
      <c r="D132" s="465"/>
      <c r="E132" s="465"/>
      <c r="F132" s="465"/>
      <c r="G132" s="465"/>
      <c r="H132" s="465"/>
      <c r="I132" s="465"/>
      <c r="J132" s="465"/>
      <c r="K132" s="465"/>
      <c r="L132" s="465"/>
      <c r="M132" s="465"/>
      <c r="N132" s="386"/>
      <c r="O132" s="386"/>
      <c r="P132" s="386"/>
      <c r="Q132" s="386"/>
      <c r="R132" s="386"/>
      <c r="S132" s="386"/>
      <c r="T132" s="386"/>
      <c r="U132" s="386"/>
      <c r="V132" s="386"/>
      <c r="W132" s="386"/>
      <c r="X132" s="386"/>
      <c r="Y132" s="386"/>
      <c r="Z132" s="386"/>
      <c r="AA132" s="404">
        <v>47</v>
      </c>
      <c r="AB132" s="388">
        <v>24300</v>
      </c>
      <c r="AC132" s="433">
        <v>12385</v>
      </c>
      <c r="AD132" s="433">
        <v>12700</v>
      </c>
      <c r="AE132" s="388">
        <v>24300</v>
      </c>
      <c r="AF132" s="388">
        <v>24950</v>
      </c>
      <c r="AG132" s="388">
        <v>25600</v>
      </c>
      <c r="AH132" s="386"/>
      <c r="AI132" s="386"/>
      <c r="AJ132" s="386"/>
      <c r="AK132" s="386"/>
      <c r="AL132" s="386"/>
      <c r="AM132" s="386"/>
      <c r="AN132" s="386"/>
      <c r="AO132" s="386"/>
      <c r="AP132" s="386"/>
      <c r="AQ132" s="386"/>
      <c r="AR132" s="386"/>
      <c r="AS132" s="386"/>
      <c r="AT132" s="386"/>
      <c r="AU132" s="386"/>
      <c r="AV132" s="386"/>
      <c r="AW132" s="386"/>
      <c r="AX132" s="386"/>
      <c r="AY132" s="386"/>
      <c r="AZ132" s="386"/>
      <c r="BA132" s="386"/>
      <c r="BB132" s="386"/>
      <c r="BC132" s="386"/>
      <c r="BD132" s="386"/>
      <c r="BE132" s="386"/>
      <c r="BF132" s="386"/>
      <c r="BG132" s="386"/>
      <c r="BH132" s="386"/>
      <c r="BI132" s="386"/>
      <c r="BJ132" s="386"/>
      <c r="BK132" s="386"/>
      <c r="BL132" s="386"/>
      <c r="BM132" s="386"/>
      <c r="BN132" s="386"/>
      <c r="BO132" s="386"/>
      <c r="BP132" s="386"/>
      <c r="BQ132" s="386"/>
      <c r="BR132" s="386"/>
      <c r="BS132" s="386"/>
      <c r="BT132" s="386"/>
      <c r="BU132" s="386"/>
      <c r="BV132" s="386"/>
      <c r="BW132" s="386"/>
      <c r="BX132" s="386"/>
      <c r="BY132" s="386"/>
      <c r="BZ132" s="386"/>
      <c r="CA132" s="386"/>
      <c r="CB132" s="386"/>
      <c r="CC132" s="386"/>
      <c r="CD132" s="386"/>
      <c r="CE132" s="386"/>
      <c r="CF132" s="386"/>
      <c r="CG132" s="386"/>
      <c r="CH132" s="386"/>
      <c r="CI132" s="386"/>
      <c r="CJ132" s="386"/>
      <c r="CK132" s="386"/>
      <c r="CL132" s="386"/>
      <c r="CM132" s="386"/>
      <c r="CN132" s="386"/>
      <c r="CO132" s="386"/>
      <c r="CP132" s="386"/>
      <c r="CQ132" s="386"/>
      <c r="CR132" s="386"/>
      <c r="CS132" s="386"/>
      <c r="CT132" s="386"/>
      <c r="CU132" s="386"/>
      <c r="CV132" s="386"/>
      <c r="CW132" s="386"/>
      <c r="CX132" s="386"/>
      <c r="CY132" s="386"/>
      <c r="CZ132" s="386"/>
      <c r="DA132" s="386"/>
      <c r="DB132" s="386"/>
      <c r="DC132" s="386"/>
      <c r="DD132" s="386"/>
      <c r="DE132" s="386"/>
      <c r="DF132" s="386"/>
      <c r="DG132" s="386"/>
      <c r="DH132" s="386"/>
      <c r="DI132" s="386"/>
      <c r="DJ132" s="386"/>
      <c r="DK132" s="386"/>
      <c r="DL132" s="386"/>
      <c r="DM132" s="386"/>
      <c r="DN132" s="386"/>
      <c r="DO132" s="386"/>
      <c r="DP132" s="386"/>
      <c r="DQ132" s="386"/>
      <c r="DR132" s="386"/>
      <c r="DS132" s="386"/>
      <c r="DT132" s="386"/>
      <c r="DU132" s="386"/>
      <c r="DV132" s="386"/>
      <c r="DW132" s="386"/>
      <c r="DX132" s="386"/>
      <c r="DY132" s="386"/>
      <c r="DZ132" s="386"/>
      <c r="EA132" s="386"/>
      <c r="EB132" s="386"/>
      <c r="EC132" s="386"/>
      <c r="ED132" s="386"/>
      <c r="EE132" s="386"/>
      <c r="EF132" s="386"/>
      <c r="EG132" s="386"/>
      <c r="EH132" s="386"/>
      <c r="EI132" s="386"/>
      <c r="EJ132" s="386"/>
      <c r="EK132" s="386"/>
      <c r="EL132" s="386"/>
      <c r="EM132" s="386"/>
      <c r="EN132" s="386"/>
      <c r="EO132" s="386"/>
      <c r="EP132" s="386"/>
      <c r="EQ132" s="386"/>
      <c r="ER132" s="386"/>
      <c r="ES132" s="386"/>
      <c r="ET132" s="386"/>
      <c r="EU132" s="386"/>
      <c r="EV132" s="386"/>
      <c r="EW132" s="386"/>
      <c r="EX132" s="386"/>
      <c r="EY132" s="386"/>
      <c r="EZ132" s="386"/>
      <c r="FA132" s="386"/>
      <c r="FB132" s="386"/>
      <c r="FC132" s="386"/>
      <c r="FD132" s="386"/>
      <c r="FE132" s="386"/>
      <c r="FF132" s="386"/>
      <c r="FG132" s="386"/>
      <c r="FH132" s="386"/>
      <c r="FI132" s="386"/>
      <c r="FJ132" s="386"/>
      <c r="FK132" s="386"/>
      <c r="FL132" s="386"/>
      <c r="FM132" s="386"/>
      <c r="FN132" s="386"/>
      <c r="FO132" s="386"/>
      <c r="FP132" s="386"/>
      <c r="FQ132" s="386"/>
      <c r="FR132" s="386"/>
      <c r="FS132" s="386"/>
      <c r="FT132" s="386"/>
      <c r="FU132" s="386"/>
      <c r="FV132" s="386"/>
      <c r="FW132" s="386"/>
      <c r="FX132" s="386"/>
      <c r="FY132" s="386"/>
      <c r="FZ132" s="386"/>
      <c r="GA132" s="386"/>
      <c r="GB132" s="386"/>
      <c r="GC132" s="386"/>
      <c r="GD132" s="386"/>
      <c r="GE132" s="386"/>
      <c r="GF132" s="386"/>
      <c r="GG132" s="386"/>
      <c r="GH132" s="386"/>
      <c r="GI132" s="386"/>
      <c r="GJ132" s="386"/>
      <c r="GK132" s="386"/>
      <c r="GL132" s="386"/>
    </row>
    <row r="133" spans="1:194" s="393" customFormat="1" ht="27.75" customHeight="1" hidden="1">
      <c r="A133" s="386"/>
      <c r="B133" s="465"/>
      <c r="C133" s="465"/>
      <c r="D133" s="465"/>
      <c r="E133" s="465"/>
      <c r="F133" s="465"/>
      <c r="G133" s="465"/>
      <c r="H133" s="465"/>
      <c r="I133" s="465"/>
      <c r="J133" s="465"/>
      <c r="K133" s="465"/>
      <c r="L133" s="465"/>
      <c r="M133" s="465"/>
      <c r="N133" s="386"/>
      <c r="O133" s="386"/>
      <c r="P133" s="386"/>
      <c r="Q133" s="386"/>
      <c r="R133" s="386"/>
      <c r="S133" s="386"/>
      <c r="T133" s="386"/>
      <c r="U133" s="386"/>
      <c r="V133" s="386"/>
      <c r="W133" s="386"/>
      <c r="X133" s="386"/>
      <c r="Y133" s="386"/>
      <c r="Z133" s="386"/>
      <c r="AA133" s="404">
        <v>48</v>
      </c>
      <c r="AB133" s="388">
        <v>24950</v>
      </c>
      <c r="AC133" s="433">
        <v>12700</v>
      </c>
      <c r="AD133" s="433">
        <v>13030</v>
      </c>
      <c r="AE133" s="388">
        <v>24950</v>
      </c>
      <c r="AF133" s="388">
        <v>25600</v>
      </c>
      <c r="AG133" s="388">
        <v>26300</v>
      </c>
      <c r="AH133" s="386"/>
      <c r="AI133" s="386"/>
      <c r="AJ133" s="386"/>
      <c r="AK133" s="386"/>
      <c r="AL133" s="386"/>
      <c r="AM133" s="386"/>
      <c r="AN133" s="386"/>
      <c r="AO133" s="386"/>
      <c r="AP133" s="386"/>
      <c r="AQ133" s="386"/>
      <c r="AR133" s="386"/>
      <c r="AS133" s="386"/>
      <c r="AT133" s="386"/>
      <c r="AU133" s="386"/>
      <c r="AV133" s="386"/>
      <c r="AW133" s="386"/>
      <c r="AX133" s="386"/>
      <c r="AY133" s="386"/>
      <c r="AZ133" s="386"/>
      <c r="BA133" s="386"/>
      <c r="BB133" s="386"/>
      <c r="BC133" s="386"/>
      <c r="BD133" s="386"/>
      <c r="BE133" s="386"/>
      <c r="BF133" s="386"/>
      <c r="BG133" s="386"/>
      <c r="BH133" s="386"/>
      <c r="BI133" s="386"/>
      <c r="BJ133" s="386"/>
      <c r="BK133" s="386"/>
      <c r="BL133" s="386"/>
      <c r="BM133" s="386"/>
      <c r="BN133" s="386"/>
      <c r="BO133" s="386"/>
      <c r="BP133" s="386"/>
      <c r="BQ133" s="386"/>
      <c r="BR133" s="386"/>
      <c r="BS133" s="386"/>
      <c r="BT133" s="386"/>
      <c r="BU133" s="386"/>
      <c r="BV133" s="386"/>
      <c r="BW133" s="386"/>
      <c r="BX133" s="386"/>
      <c r="BY133" s="386"/>
      <c r="BZ133" s="386"/>
      <c r="CA133" s="386"/>
      <c r="CB133" s="386"/>
      <c r="CC133" s="386"/>
      <c r="CD133" s="386"/>
      <c r="CE133" s="386"/>
      <c r="CF133" s="386"/>
      <c r="CG133" s="386"/>
      <c r="CH133" s="386"/>
      <c r="CI133" s="386"/>
      <c r="CJ133" s="386"/>
      <c r="CK133" s="386"/>
      <c r="CL133" s="386"/>
      <c r="CM133" s="386"/>
      <c r="CN133" s="386"/>
      <c r="CO133" s="386"/>
      <c r="CP133" s="386"/>
      <c r="CQ133" s="386"/>
      <c r="CR133" s="386"/>
      <c r="CS133" s="386"/>
      <c r="CT133" s="386"/>
      <c r="CU133" s="386"/>
      <c r="CV133" s="386"/>
      <c r="CW133" s="386"/>
      <c r="CX133" s="386"/>
      <c r="CY133" s="386"/>
      <c r="CZ133" s="386"/>
      <c r="DA133" s="386"/>
      <c r="DB133" s="386"/>
      <c r="DC133" s="386"/>
      <c r="DD133" s="386"/>
      <c r="DE133" s="386"/>
      <c r="DF133" s="386"/>
      <c r="DG133" s="386"/>
      <c r="DH133" s="386"/>
      <c r="DI133" s="386"/>
      <c r="DJ133" s="386"/>
      <c r="DK133" s="386"/>
      <c r="DL133" s="386"/>
      <c r="DM133" s="386"/>
      <c r="DN133" s="386"/>
      <c r="DO133" s="386"/>
      <c r="DP133" s="386"/>
      <c r="DQ133" s="386"/>
      <c r="DR133" s="386"/>
      <c r="DS133" s="386"/>
      <c r="DT133" s="386"/>
      <c r="DU133" s="386"/>
      <c r="DV133" s="386"/>
      <c r="DW133" s="386"/>
      <c r="DX133" s="386"/>
      <c r="DY133" s="386"/>
      <c r="DZ133" s="386"/>
      <c r="EA133" s="386"/>
      <c r="EB133" s="386"/>
      <c r="EC133" s="386"/>
      <c r="ED133" s="386"/>
      <c r="EE133" s="386"/>
      <c r="EF133" s="386"/>
      <c r="EG133" s="386"/>
      <c r="EH133" s="386"/>
      <c r="EI133" s="386"/>
      <c r="EJ133" s="386"/>
      <c r="EK133" s="386"/>
      <c r="EL133" s="386"/>
      <c r="EM133" s="386"/>
      <c r="EN133" s="386"/>
      <c r="EO133" s="386"/>
      <c r="EP133" s="386"/>
      <c r="EQ133" s="386"/>
      <c r="ER133" s="386"/>
      <c r="ES133" s="386"/>
      <c r="ET133" s="386"/>
      <c r="EU133" s="386"/>
      <c r="EV133" s="386"/>
      <c r="EW133" s="386"/>
      <c r="EX133" s="386"/>
      <c r="EY133" s="386"/>
      <c r="EZ133" s="386"/>
      <c r="FA133" s="386"/>
      <c r="FB133" s="386"/>
      <c r="FC133" s="386"/>
      <c r="FD133" s="386"/>
      <c r="FE133" s="386"/>
      <c r="FF133" s="386"/>
      <c r="FG133" s="386"/>
      <c r="FH133" s="386"/>
      <c r="FI133" s="386"/>
      <c r="FJ133" s="386"/>
      <c r="FK133" s="386"/>
      <c r="FL133" s="386"/>
      <c r="FM133" s="386"/>
      <c r="FN133" s="386"/>
      <c r="FO133" s="386"/>
      <c r="FP133" s="386"/>
      <c r="FQ133" s="386"/>
      <c r="FR133" s="386"/>
      <c r="FS133" s="386"/>
      <c r="FT133" s="386"/>
      <c r="FU133" s="386"/>
      <c r="FV133" s="386"/>
      <c r="FW133" s="386"/>
      <c r="FX133" s="386"/>
      <c r="FY133" s="386"/>
      <c r="FZ133" s="386"/>
      <c r="GA133" s="386"/>
      <c r="GB133" s="386"/>
      <c r="GC133" s="386"/>
      <c r="GD133" s="386"/>
      <c r="GE133" s="386"/>
      <c r="GF133" s="386"/>
      <c r="GG133" s="386"/>
      <c r="GH133" s="386"/>
      <c r="GI133" s="386"/>
      <c r="GJ133" s="386"/>
      <c r="GK133" s="386"/>
      <c r="GL133" s="386"/>
    </row>
    <row r="134" spans="1:194" s="393" customFormat="1" ht="27.75" customHeight="1" hidden="1">
      <c r="A134" s="386"/>
      <c r="B134" s="465"/>
      <c r="C134" s="465"/>
      <c r="D134" s="465"/>
      <c r="E134" s="465"/>
      <c r="F134" s="465"/>
      <c r="G134" s="465"/>
      <c r="H134" s="465"/>
      <c r="I134" s="465"/>
      <c r="J134" s="465"/>
      <c r="K134" s="465"/>
      <c r="L134" s="465"/>
      <c r="M134" s="465"/>
      <c r="N134" s="386"/>
      <c r="O134" s="386"/>
      <c r="P134" s="386"/>
      <c r="Q134" s="386"/>
      <c r="R134" s="386"/>
      <c r="S134" s="386"/>
      <c r="T134" s="386"/>
      <c r="U134" s="386"/>
      <c r="V134" s="386"/>
      <c r="W134" s="386"/>
      <c r="X134" s="386"/>
      <c r="Y134" s="386"/>
      <c r="Z134" s="386"/>
      <c r="AA134" s="404">
        <v>49</v>
      </c>
      <c r="AB134" s="388">
        <v>25600</v>
      </c>
      <c r="AC134" s="433">
        <v>13030</v>
      </c>
      <c r="AD134" s="433">
        <v>13390</v>
      </c>
      <c r="AE134" s="388">
        <v>25600</v>
      </c>
      <c r="AF134" s="388">
        <v>26300</v>
      </c>
      <c r="AG134" s="388">
        <v>27000</v>
      </c>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386"/>
      <c r="BY134" s="386"/>
      <c r="BZ134" s="386"/>
      <c r="CA134" s="386"/>
      <c r="CB134" s="386"/>
      <c r="CC134" s="386"/>
      <c r="CD134" s="386"/>
      <c r="CE134" s="386"/>
      <c r="CF134" s="386"/>
      <c r="CG134" s="386"/>
      <c r="CH134" s="386"/>
      <c r="CI134" s="386"/>
      <c r="CJ134" s="386"/>
      <c r="CK134" s="386"/>
      <c r="CL134" s="386"/>
      <c r="CM134" s="386"/>
      <c r="CN134" s="386"/>
      <c r="CO134" s="386"/>
      <c r="CP134" s="386"/>
      <c r="CQ134" s="386"/>
      <c r="CR134" s="386"/>
      <c r="CS134" s="386"/>
      <c r="CT134" s="386"/>
      <c r="CU134" s="386"/>
      <c r="CV134" s="386"/>
      <c r="CW134" s="386"/>
      <c r="CX134" s="386"/>
      <c r="CY134" s="386"/>
      <c r="CZ134" s="386"/>
      <c r="DA134" s="386"/>
      <c r="DB134" s="386"/>
      <c r="DC134" s="386"/>
      <c r="DD134" s="386"/>
      <c r="DE134" s="386"/>
      <c r="DF134" s="386"/>
      <c r="DG134" s="386"/>
      <c r="DH134" s="386"/>
      <c r="DI134" s="386"/>
      <c r="DJ134" s="386"/>
      <c r="DK134" s="386"/>
      <c r="DL134" s="386"/>
      <c r="DM134" s="386"/>
      <c r="DN134" s="386"/>
      <c r="DO134" s="386"/>
      <c r="DP134" s="386"/>
      <c r="DQ134" s="386"/>
      <c r="DR134" s="386"/>
      <c r="DS134" s="386"/>
      <c r="DT134" s="386"/>
      <c r="DU134" s="386"/>
      <c r="DV134" s="386"/>
      <c r="DW134" s="386"/>
      <c r="DX134" s="386"/>
      <c r="DY134" s="386"/>
      <c r="DZ134" s="386"/>
      <c r="EA134" s="386"/>
      <c r="EB134" s="386"/>
      <c r="EC134" s="386"/>
      <c r="ED134" s="386"/>
      <c r="EE134" s="386"/>
      <c r="EF134" s="386"/>
      <c r="EG134" s="386"/>
      <c r="EH134" s="386"/>
      <c r="EI134" s="386"/>
      <c r="EJ134" s="386"/>
      <c r="EK134" s="386"/>
      <c r="EL134" s="386"/>
      <c r="EM134" s="386"/>
      <c r="EN134" s="386"/>
      <c r="EO134" s="386"/>
      <c r="EP134" s="386"/>
      <c r="EQ134" s="386"/>
      <c r="ER134" s="386"/>
      <c r="ES134" s="386"/>
      <c r="ET134" s="386"/>
      <c r="EU134" s="386"/>
      <c r="EV134" s="386"/>
      <c r="EW134" s="386"/>
      <c r="EX134" s="386"/>
      <c r="EY134" s="386"/>
      <c r="EZ134" s="386"/>
      <c r="FA134" s="386"/>
      <c r="FB134" s="386"/>
      <c r="FC134" s="386"/>
      <c r="FD134" s="386"/>
      <c r="FE134" s="386"/>
      <c r="FF134" s="386"/>
      <c r="FG134" s="386"/>
      <c r="FH134" s="386"/>
      <c r="FI134" s="386"/>
      <c r="FJ134" s="386"/>
      <c r="FK134" s="386"/>
      <c r="FL134" s="386"/>
      <c r="FM134" s="386"/>
      <c r="FN134" s="386"/>
      <c r="FO134" s="386"/>
      <c r="FP134" s="386"/>
      <c r="FQ134" s="386"/>
      <c r="FR134" s="386"/>
      <c r="FS134" s="386"/>
      <c r="FT134" s="386"/>
      <c r="FU134" s="386"/>
      <c r="FV134" s="386"/>
      <c r="FW134" s="386"/>
      <c r="FX134" s="386"/>
      <c r="FY134" s="386"/>
      <c r="FZ134" s="386"/>
      <c r="GA134" s="386"/>
      <c r="GB134" s="386"/>
      <c r="GC134" s="386"/>
      <c r="GD134" s="386"/>
      <c r="GE134" s="386"/>
      <c r="GF134" s="386"/>
      <c r="GG134" s="386"/>
      <c r="GH134" s="386"/>
      <c r="GI134" s="386"/>
      <c r="GJ134" s="386"/>
      <c r="GK134" s="386"/>
      <c r="GL134" s="386"/>
    </row>
    <row r="135" spans="1:194" s="393" customFormat="1" ht="27.75" customHeight="1" hidden="1">
      <c r="A135" s="386"/>
      <c r="B135" s="465"/>
      <c r="C135" s="465"/>
      <c r="D135" s="465"/>
      <c r="E135" s="465"/>
      <c r="F135" s="465"/>
      <c r="G135" s="465"/>
      <c r="H135" s="465"/>
      <c r="I135" s="465"/>
      <c r="J135" s="465"/>
      <c r="K135" s="465"/>
      <c r="L135" s="465"/>
      <c r="M135" s="465"/>
      <c r="N135" s="386"/>
      <c r="O135" s="386"/>
      <c r="P135" s="386"/>
      <c r="Q135" s="386"/>
      <c r="R135" s="386"/>
      <c r="S135" s="386"/>
      <c r="T135" s="386"/>
      <c r="U135" s="386"/>
      <c r="V135" s="386"/>
      <c r="W135" s="386"/>
      <c r="X135" s="386"/>
      <c r="Y135" s="386"/>
      <c r="Z135" s="386"/>
      <c r="AA135" s="404">
        <v>50</v>
      </c>
      <c r="AB135" s="388">
        <v>26300</v>
      </c>
      <c r="AC135" s="433">
        <v>13390</v>
      </c>
      <c r="AD135" s="433">
        <v>13750</v>
      </c>
      <c r="AE135" s="388">
        <v>26300</v>
      </c>
      <c r="AF135" s="388">
        <v>27000</v>
      </c>
      <c r="AG135" s="388">
        <v>27700</v>
      </c>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6"/>
      <c r="BM135" s="386"/>
      <c r="BN135" s="386"/>
      <c r="BO135" s="386"/>
      <c r="BP135" s="386"/>
      <c r="BQ135" s="386"/>
      <c r="BR135" s="386"/>
      <c r="BS135" s="386"/>
      <c r="BT135" s="386"/>
      <c r="BU135" s="386"/>
      <c r="BV135" s="386"/>
      <c r="BW135" s="386"/>
      <c r="BX135" s="386"/>
      <c r="BY135" s="386"/>
      <c r="BZ135" s="386"/>
      <c r="CA135" s="386"/>
      <c r="CB135" s="386"/>
      <c r="CC135" s="386"/>
      <c r="CD135" s="386"/>
      <c r="CE135" s="386"/>
      <c r="CF135" s="386"/>
      <c r="CG135" s="386"/>
      <c r="CH135" s="386"/>
      <c r="CI135" s="386"/>
      <c r="CJ135" s="386"/>
      <c r="CK135" s="386"/>
      <c r="CL135" s="386"/>
      <c r="CM135" s="386"/>
      <c r="CN135" s="386"/>
      <c r="CO135" s="386"/>
      <c r="CP135" s="386"/>
      <c r="CQ135" s="386"/>
      <c r="CR135" s="386"/>
      <c r="CS135" s="386"/>
      <c r="CT135" s="386"/>
      <c r="CU135" s="386"/>
      <c r="CV135" s="386"/>
      <c r="CW135" s="386"/>
      <c r="CX135" s="386"/>
      <c r="CY135" s="386"/>
      <c r="CZ135" s="386"/>
      <c r="DA135" s="386"/>
      <c r="DB135" s="386"/>
      <c r="DC135" s="386"/>
      <c r="DD135" s="386"/>
      <c r="DE135" s="386"/>
      <c r="DF135" s="386"/>
      <c r="DG135" s="386"/>
      <c r="DH135" s="386"/>
      <c r="DI135" s="386"/>
      <c r="DJ135" s="386"/>
      <c r="DK135" s="386"/>
      <c r="DL135" s="386"/>
      <c r="DM135" s="386"/>
      <c r="DN135" s="386"/>
      <c r="DO135" s="386"/>
      <c r="DP135" s="386"/>
      <c r="DQ135" s="386"/>
      <c r="DR135" s="386"/>
      <c r="DS135" s="386"/>
      <c r="DT135" s="386"/>
      <c r="DU135" s="386"/>
      <c r="DV135" s="386"/>
      <c r="DW135" s="386"/>
      <c r="DX135" s="386"/>
      <c r="DY135" s="386"/>
      <c r="DZ135" s="386"/>
      <c r="EA135" s="386"/>
      <c r="EB135" s="386"/>
      <c r="EC135" s="386"/>
      <c r="ED135" s="386"/>
      <c r="EE135" s="386"/>
      <c r="EF135" s="386"/>
      <c r="EG135" s="386"/>
      <c r="EH135" s="386"/>
      <c r="EI135" s="386"/>
      <c r="EJ135" s="386"/>
      <c r="EK135" s="386"/>
      <c r="EL135" s="386"/>
      <c r="EM135" s="386"/>
      <c r="EN135" s="386"/>
      <c r="EO135" s="386"/>
      <c r="EP135" s="386"/>
      <c r="EQ135" s="386"/>
      <c r="ER135" s="386"/>
      <c r="ES135" s="386"/>
      <c r="ET135" s="386"/>
      <c r="EU135" s="386"/>
      <c r="EV135" s="386"/>
      <c r="EW135" s="386"/>
      <c r="EX135" s="386"/>
      <c r="EY135" s="386"/>
      <c r="EZ135" s="386"/>
      <c r="FA135" s="386"/>
      <c r="FB135" s="386"/>
      <c r="FC135" s="386"/>
      <c r="FD135" s="386"/>
      <c r="FE135" s="386"/>
      <c r="FF135" s="386"/>
      <c r="FG135" s="386"/>
      <c r="FH135" s="386"/>
      <c r="FI135" s="386"/>
      <c r="FJ135" s="386"/>
      <c r="FK135" s="386"/>
      <c r="FL135" s="386"/>
      <c r="FM135" s="386"/>
      <c r="FN135" s="386"/>
      <c r="FO135" s="386"/>
      <c r="FP135" s="386"/>
      <c r="FQ135" s="386"/>
      <c r="FR135" s="386"/>
      <c r="FS135" s="386"/>
      <c r="FT135" s="386"/>
      <c r="FU135" s="386"/>
      <c r="FV135" s="386"/>
      <c r="FW135" s="386"/>
      <c r="FX135" s="386"/>
      <c r="FY135" s="386"/>
      <c r="FZ135" s="386"/>
      <c r="GA135" s="386"/>
      <c r="GB135" s="386"/>
      <c r="GC135" s="386"/>
      <c r="GD135" s="386"/>
      <c r="GE135" s="386"/>
      <c r="GF135" s="386"/>
      <c r="GG135" s="386"/>
      <c r="GH135" s="386"/>
      <c r="GI135" s="386"/>
      <c r="GJ135" s="386"/>
      <c r="GK135" s="386"/>
      <c r="GL135" s="386"/>
    </row>
    <row r="136" spans="1:194" s="393" customFormat="1" ht="27.75" customHeight="1" hidden="1">
      <c r="A136" s="386"/>
      <c r="B136" s="465"/>
      <c r="C136" s="465"/>
      <c r="D136" s="465"/>
      <c r="E136" s="465"/>
      <c r="F136" s="465"/>
      <c r="G136" s="465"/>
      <c r="H136" s="465"/>
      <c r="I136" s="465"/>
      <c r="J136" s="465"/>
      <c r="K136" s="465"/>
      <c r="L136" s="465"/>
      <c r="M136" s="465"/>
      <c r="N136" s="386"/>
      <c r="O136" s="386"/>
      <c r="P136" s="386"/>
      <c r="Q136" s="386"/>
      <c r="R136" s="386"/>
      <c r="S136" s="386"/>
      <c r="T136" s="386"/>
      <c r="U136" s="386"/>
      <c r="V136" s="386"/>
      <c r="W136" s="386"/>
      <c r="X136" s="386"/>
      <c r="Y136" s="386"/>
      <c r="Z136" s="386"/>
      <c r="AA136" s="404">
        <v>51</v>
      </c>
      <c r="AB136" s="388">
        <v>27000</v>
      </c>
      <c r="AC136" s="433">
        <v>13750</v>
      </c>
      <c r="AD136" s="433">
        <v>14175</v>
      </c>
      <c r="AE136" s="388">
        <v>27000</v>
      </c>
      <c r="AF136" s="388">
        <v>27700</v>
      </c>
      <c r="AG136" s="388">
        <v>28450</v>
      </c>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c r="BO136" s="386"/>
      <c r="BP136" s="386"/>
      <c r="BQ136" s="386"/>
      <c r="BR136" s="386"/>
      <c r="BS136" s="386"/>
      <c r="BT136" s="386"/>
      <c r="BU136" s="386"/>
      <c r="BV136" s="386"/>
      <c r="BW136" s="386"/>
      <c r="BX136" s="386"/>
      <c r="BY136" s="386"/>
      <c r="BZ136" s="386"/>
      <c r="CA136" s="386"/>
      <c r="CB136" s="386"/>
      <c r="CC136" s="386"/>
      <c r="CD136" s="386"/>
      <c r="CE136" s="386"/>
      <c r="CF136" s="386"/>
      <c r="CG136" s="386"/>
      <c r="CH136" s="386"/>
      <c r="CI136" s="386"/>
      <c r="CJ136" s="386"/>
      <c r="CK136" s="386"/>
      <c r="CL136" s="386"/>
      <c r="CM136" s="386"/>
      <c r="CN136" s="386"/>
      <c r="CO136" s="386"/>
      <c r="CP136" s="386"/>
      <c r="CQ136" s="386"/>
      <c r="CR136" s="386"/>
      <c r="CS136" s="386"/>
      <c r="CT136" s="386"/>
      <c r="CU136" s="386"/>
      <c r="CV136" s="386"/>
      <c r="CW136" s="386"/>
      <c r="CX136" s="386"/>
      <c r="CY136" s="386"/>
      <c r="CZ136" s="386"/>
      <c r="DA136" s="386"/>
      <c r="DB136" s="386"/>
      <c r="DC136" s="386"/>
      <c r="DD136" s="386"/>
      <c r="DE136" s="386"/>
      <c r="DF136" s="386"/>
      <c r="DG136" s="386"/>
      <c r="DH136" s="386"/>
      <c r="DI136" s="386"/>
      <c r="DJ136" s="386"/>
      <c r="DK136" s="386"/>
      <c r="DL136" s="386"/>
      <c r="DM136" s="386"/>
      <c r="DN136" s="386"/>
      <c r="DO136" s="386"/>
      <c r="DP136" s="386"/>
      <c r="DQ136" s="386"/>
      <c r="DR136" s="386"/>
      <c r="DS136" s="386"/>
      <c r="DT136" s="386"/>
      <c r="DU136" s="386"/>
      <c r="DV136" s="386"/>
      <c r="DW136" s="386"/>
      <c r="DX136" s="386"/>
      <c r="DY136" s="386"/>
      <c r="DZ136" s="386"/>
      <c r="EA136" s="386"/>
      <c r="EB136" s="386"/>
      <c r="EC136" s="386"/>
      <c r="ED136" s="386"/>
      <c r="EE136" s="386"/>
      <c r="EF136" s="386"/>
      <c r="EG136" s="386"/>
      <c r="EH136" s="386"/>
      <c r="EI136" s="386"/>
      <c r="EJ136" s="386"/>
      <c r="EK136" s="386"/>
      <c r="EL136" s="386"/>
      <c r="EM136" s="386"/>
      <c r="EN136" s="386"/>
      <c r="EO136" s="386"/>
      <c r="EP136" s="386"/>
      <c r="EQ136" s="386"/>
      <c r="ER136" s="386"/>
      <c r="ES136" s="386"/>
      <c r="ET136" s="386"/>
      <c r="EU136" s="386"/>
      <c r="EV136" s="386"/>
      <c r="EW136" s="386"/>
      <c r="EX136" s="386"/>
      <c r="EY136" s="386"/>
      <c r="EZ136" s="386"/>
      <c r="FA136" s="386"/>
      <c r="FB136" s="386"/>
      <c r="FC136" s="386"/>
      <c r="FD136" s="386"/>
      <c r="FE136" s="386"/>
      <c r="FF136" s="386"/>
      <c r="FG136" s="386"/>
      <c r="FH136" s="386"/>
      <c r="FI136" s="386"/>
      <c r="FJ136" s="386"/>
      <c r="FK136" s="386"/>
      <c r="FL136" s="386"/>
      <c r="FM136" s="386"/>
      <c r="FN136" s="386"/>
      <c r="FO136" s="386"/>
      <c r="FP136" s="386"/>
      <c r="FQ136" s="386"/>
      <c r="FR136" s="386"/>
      <c r="FS136" s="386"/>
      <c r="FT136" s="386"/>
      <c r="FU136" s="386"/>
      <c r="FV136" s="386"/>
      <c r="FW136" s="386"/>
      <c r="FX136" s="386"/>
      <c r="FY136" s="386"/>
      <c r="FZ136" s="386"/>
      <c r="GA136" s="386"/>
      <c r="GB136" s="386"/>
      <c r="GC136" s="386"/>
      <c r="GD136" s="386"/>
      <c r="GE136" s="386"/>
      <c r="GF136" s="386"/>
      <c r="GG136" s="386"/>
      <c r="GH136" s="386"/>
      <c r="GI136" s="386"/>
      <c r="GJ136" s="386"/>
      <c r="GK136" s="386"/>
      <c r="GL136" s="386"/>
    </row>
    <row r="137" spans="1:194" s="393" customFormat="1" ht="27.75" customHeight="1" hidden="1">
      <c r="A137" s="386"/>
      <c r="B137" s="465"/>
      <c r="C137" s="465"/>
      <c r="D137" s="465"/>
      <c r="E137" s="465"/>
      <c r="F137" s="465"/>
      <c r="G137" s="465"/>
      <c r="H137" s="465"/>
      <c r="I137" s="465"/>
      <c r="J137" s="465"/>
      <c r="K137" s="465"/>
      <c r="L137" s="465"/>
      <c r="M137" s="465"/>
      <c r="N137" s="386"/>
      <c r="O137" s="386"/>
      <c r="P137" s="386"/>
      <c r="Q137" s="386"/>
      <c r="R137" s="386"/>
      <c r="S137" s="386"/>
      <c r="T137" s="386"/>
      <c r="U137" s="386"/>
      <c r="V137" s="386"/>
      <c r="W137" s="386"/>
      <c r="X137" s="386"/>
      <c r="Y137" s="386"/>
      <c r="Z137" s="386"/>
      <c r="AA137" s="404">
        <v>52</v>
      </c>
      <c r="AB137" s="388">
        <v>27700</v>
      </c>
      <c r="AC137" s="433">
        <v>14175</v>
      </c>
      <c r="AD137" s="433">
        <v>14600</v>
      </c>
      <c r="AE137" s="388">
        <v>27700</v>
      </c>
      <c r="AF137" s="388">
        <v>28450</v>
      </c>
      <c r="AG137" s="388">
        <v>29200</v>
      </c>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c r="BO137" s="386"/>
      <c r="BP137" s="386"/>
      <c r="BQ137" s="386"/>
      <c r="BR137" s="386"/>
      <c r="BS137" s="386"/>
      <c r="BT137" s="386"/>
      <c r="BU137" s="386"/>
      <c r="BV137" s="386"/>
      <c r="BW137" s="386"/>
      <c r="BX137" s="386"/>
      <c r="BY137" s="386"/>
      <c r="BZ137" s="386"/>
      <c r="CA137" s="386"/>
      <c r="CB137" s="386"/>
      <c r="CC137" s="386"/>
      <c r="CD137" s="386"/>
      <c r="CE137" s="386"/>
      <c r="CF137" s="386"/>
      <c r="CG137" s="386"/>
      <c r="CH137" s="386"/>
      <c r="CI137" s="386"/>
      <c r="CJ137" s="386"/>
      <c r="CK137" s="386"/>
      <c r="CL137" s="386"/>
      <c r="CM137" s="386"/>
      <c r="CN137" s="386"/>
      <c r="CO137" s="386"/>
      <c r="CP137" s="386"/>
      <c r="CQ137" s="386"/>
      <c r="CR137" s="386"/>
      <c r="CS137" s="386"/>
      <c r="CT137" s="386"/>
      <c r="CU137" s="386"/>
      <c r="CV137" s="386"/>
      <c r="CW137" s="386"/>
      <c r="CX137" s="386"/>
      <c r="CY137" s="386"/>
      <c r="CZ137" s="386"/>
      <c r="DA137" s="386"/>
      <c r="DB137" s="386"/>
      <c r="DC137" s="386"/>
      <c r="DD137" s="386"/>
      <c r="DE137" s="386"/>
      <c r="DF137" s="386"/>
      <c r="DG137" s="386"/>
      <c r="DH137" s="386"/>
      <c r="DI137" s="386"/>
      <c r="DJ137" s="386"/>
      <c r="DK137" s="386"/>
      <c r="DL137" s="386"/>
      <c r="DM137" s="386"/>
      <c r="DN137" s="386"/>
      <c r="DO137" s="386"/>
      <c r="DP137" s="386"/>
      <c r="DQ137" s="386"/>
      <c r="DR137" s="386"/>
      <c r="DS137" s="386"/>
      <c r="DT137" s="386"/>
      <c r="DU137" s="386"/>
      <c r="DV137" s="386"/>
      <c r="DW137" s="386"/>
      <c r="DX137" s="386"/>
      <c r="DY137" s="386"/>
      <c r="DZ137" s="386"/>
      <c r="EA137" s="386"/>
      <c r="EB137" s="386"/>
      <c r="EC137" s="386"/>
      <c r="ED137" s="386"/>
      <c r="EE137" s="386"/>
      <c r="EF137" s="386"/>
      <c r="EG137" s="386"/>
      <c r="EH137" s="386"/>
      <c r="EI137" s="386"/>
      <c r="EJ137" s="386"/>
      <c r="EK137" s="386"/>
      <c r="EL137" s="386"/>
      <c r="EM137" s="386"/>
      <c r="EN137" s="386"/>
      <c r="EO137" s="386"/>
      <c r="EP137" s="386"/>
      <c r="EQ137" s="386"/>
      <c r="ER137" s="386"/>
      <c r="ES137" s="386"/>
      <c r="ET137" s="386"/>
      <c r="EU137" s="386"/>
      <c r="EV137" s="386"/>
      <c r="EW137" s="386"/>
      <c r="EX137" s="386"/>
      <c r="EY137" s="386"/>
      <c r="EZ137" s="386"/>
      <c r="FA137" s="386"/>
      <c r="FB137" s="386"/>
      <c r="FC137" s="386"/>
      <c r="FD137" s="386"/>
      <c r="FE137" s="386"/>
      <c r="FF137" s="386"/>
      <c r="FG137" s="386"/>
      <c r="FH137" s="386"/>
      <c r="FI137" s="386"/>
      <c r="FJ137" s="386"/>
      <c r="FK137" s="386"/>
      <c r="FL137" s="386"/>
      <c r="FM137" s="386"/>
      <c r="FN137" s="386"/>
      <c r="FO137" s="386"/>
      <c r="FP137" s="386"/>
      <c r="FQ137" s="386"/>
      <c r="FR137" s="386"/>
      <c r="FS137" s="386"/>
      <c r="FT137" s="386"/>
      <c r="FU137" s="386"/>
      <c r="FV137" s="386"/>
      <c r="FW137" s="386"/>
      <c r="FX137" s="386"/>
      <c r="FY137" s="386"/>
      <c r="FZ137" s="386"/>
      <c r="GA137" s="386"/>
      <c r="GB137" s="386"/>
      <c r="GC137" s="386"/>
      <c r="GD137" s="386"/>
      <c r="GE137" s="386"/>
      <c r="GF137" s="386"/>
      <c r="GG137" s="386"/>
      <c r="GH137" s="386"/>
      <c r="GI137" s="386"/>
      <c r="GJ137" s="386"/>
      <c r="GK137" s="386"/>
      <c r="GL137" s="386"/>
    </row>
    <row r="138" spans="1:194" s="393" customFormat="1" ht="27.75" customHeight="1" hidden="1">
      <c r="A138" s="386"/>
      <c r="B138" s="465"/>
      <c r="C138" s="465"/>
      <c r="D138" s="465"/>
      <c r="E138" s="465"/>
      <c r="F138" s="465"/>
      <c r="G138" s="465"/>
      <c r="H138" s="465"/>
      <c r="I138" s="465"/>
      <c r="J138" s="465"/>
      <c r="K138" s="465"/>
      <c r="L138" s="465"/>
      <c r="M138" s="465"/>
      <c r="N138" s="386"/>
      <c r="O138" s="386"/>
      <c r="P138" s="386"/>
      <c r="Q138" s="386"/>
      <c r="R138" s="386"/>
      <c r="S138" s="386"/>
      <c r="T138" s="386"/>
      <c r="U138" s="386"/>
      <c r="V138" s="386"/>
      <c r="W138" s="386"/>
      <c r="X138" s="386"/>
      <c r="Y138" s="386"/>
      <c r="Z138" s="386"/>
      <c r="AA138" s="404">
        <v>53</v>
      </c>
      <c r="AB138" s="388">
        <v>28450</v>
      </c>
      <c r="AC138" s="433">
        <v>14600</v>
      </c>
      <c r="AD138" s="433">
        <v>15025</v>
      </c>
      <c r="AE138" s="388">
        <v>28450</v>
      </c>
      <c r="AF138" s="388">
        <v>29200</v>
      </c>
      <c r="AG138" s="388">
        <v>29950</v>
      </c>
      <c r="AH138" s="386"/>
      <c r="AI138" s="386"/>
      <c r="AJ138" s="386"/>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c r="BO138" s="386"/>
      <c r="BP138" s="386"/>
      <c r="BQ138" s="386"/>
      <c r="BR138" s="386"/>
      <c r="BS138" s="386"/>
      <c r="BT138" s="386"/>
      <c r="BU138" s="386"/>
      <c r="BV138" s="386"/>
      <c r="BW138" s="386"/>
      <c r="BX138" s="386"/>
      <c r="BY138" s="386"/>
      <c r="BZ138" s="386"/>
      <c r="CA138" s="386"/>
      <c r="CB138" s="386"/>
      <c r="CC138" s="386"/>
      <c r="CD138" s="386"/>
      <c r="CE138" s="386"/>
      <c r="CF138" s="386"/>
      <c r="CG138" s="386"/>
      <c r="CH138" s="386"/>
      <c r="CI138" s="386"/>
      <c r="CJ138" s="386"/>
      <c r="CK138" s="386"/>
      <c r="CL138" s="386"/>
      <c r="CM138" s="386"/>
      <c r="CN138" s="386"/>
      <c r="CO138" s="386"/>
      <c r="CP138" s="386"/>
      <c r="CQ138" s="386"/>
      <c r="CR138" s="386"/>
      <c r="CS138" s="386"/>
      <c r="CT138" s="386"/>
      <c r="CU138" s="386"/>
      <c r="CV138" s="386"/>
      <c r="CW138" s="386"/>
      <c r="CX138" s="386"/>
      <c r="CY138" s="386"/>
      <c r="CZ138" s="386"/>
      <c r="DA138" s="386"/>
      <c r="DB138" s="386"/>
      <c r="DC138" s="386"/>
      <c r="DD138" s="386"/>
      <c r="DE138" s="386"/>
      <c r="DF138" s="386"/>
      <c r="DG138" s="386"/>
      <c r="DH138" s="386"/>
      <c r="DI138" s="386"/>
      <c r="DJ138" s="386"/>
      <c r="DK138" s="386"/>
      <c r="DL138" s="386"/>
      <c r="DM138" s="386"/>
      <c r="DN138" s="386"/>
      <c r="DO138" s="386"/>
      <c r="DP138" s="386"/>
      <c r="DQ138" s="386"/>
      <c r="DR138" s="386"/>
      <c r="DS138" s="386"/>
      <c r="DT138" s="386"/>
      <c r="DU138" s="386"/>
      <c r="DV138" s="386"/>
      <c r="DW138" s="386"/>
      <c r="DX138" s="386"/>
      <c r="DY138" s="386"/>
      <c r="DZ138" s="386"/>
      <c r="EA138" s="386"/>
      <c r="EB138" s="386"/>
      <c r="EC138" s="386"/>
      <c r="ED138" s="386"/>
      <c r="EE138" s="386"/>
      <c r="EF138" s="386"/>
      <c r="EG138" s="386"/>
      <c r="EH138" s="386"/>
      <c r="EI138" s="386"/>
      <c r="EJ138" s="386"/>
      <c r="EK138" s="386"/>
      <c r="EL138" s="386"/>
      <c r="EM138" s="386"/>
      <c r="EN138" s="386"/>
      <c r="EO138" s="386"/>
      <c r="EP138" s="386"/>
      <c r="EQ138" s="386"/>
      <c r="ER138" s="386"/>
      <c r="ES138" s="386"/>
      <c r="ET138" s="386"/>
      <c r="EU138" s="386"/>
      <c r="EV138" s="386"/>
      <c r="EW138" s="386"/>
      <c r="EX138" s="386"/>
      <c r="EY138" s="386"/>
      <c r="EZ138" s="386"/>
      <c r="FA138" s="386"/>
      <c r="FB138" s="386"/>
      <c r="FC138" s="386"/>
      <c r="FD138" s="386"/>
      <c r="FE138" s="386"/>
      <c r="FF138" s="386"/>
      <c r="FG138" s="386"/>
      <c r="FH138" s="386"/>
      <c r="FI138" s="386"/>
      <c r="FJ138" s="386"/>
      <c r="FK138" s="386"/>
      <c r="FL138" s="386"/>
      <c r="FM138" s="386"/>
      <c r="FN138" s="386"/>
      <c r="FO138" s="386"/>
      <c r="FP138" s="386"/>
      <c r="FQ138" s="386"/>
      <c r="FR138" s="386"/>
      <c r="FS138" s="386"/>
      <c r="FT138" s="386"/>
      <c r="FU138" s="386"/>
      <c r="FV138" s="386"/>
      <c r="FW138" s="386"/>
      <c r="FX138" s="386"/>
      <c r="FY138" s="386"/>
      <c r="FZ138" s="386"/>
      <c r="GA138" s="386"/>
      <c r="GB138" s="386"/>
      <c r="GC138" s="386"/>
      <c r="GD138" s="386"/>
      <c r="GE138" s="386"/>
      <c r="GF138" s="386"/>
      <c r="GG138" s="386"/>
      <c r="GH138" s="386"/>
      <c r="GI138" s="386"/>
      <c r="GJ138" s="386"/>
      <c r="GK138" s="386"/>
      <c r="GL138" s="386"/>
    </row>
    <row r="139" spans="1:194" s="393" customFormat="1" ht="27.75" customHeight="1" hidden="1">
      <c r="A139" s="386"/>
      <c r="B139" s="465"/>
      <c r="C139" s="465"/>
      <c r="D139" s="465"/>
      <c r="E139" s="465"/>
      <c r="F139" s="465"/>
      <c r="G139" s="465"/>
      <c r="H139" s="465"/>
      <c r="I139" s="465"/>
      <c r="J139" s="465"/>
      <c r="K139" s="465"/>
      <c r="L139" s="465"/>
      <c r="M139" s="465"/>
      <c r="N139" s="386"/>
      <c r="O139" s="386"/>
      <c r="P139" s="386"/>
      <c r="Q139" s="386"/>
      <c r="R139" s="386"/>
      <c r="S139" s="386"/>
      <c r="T139" s="386"/>
      <c r="U139" s="386"/>
      <c r="V139" s="386"/>
      <c r="W139" s="386"/>
      <c r="X139" s="386"/>
      <c r="Y139" s="386"/>
      <c r="Z139" s="386"/>
      <c r="AA139" s="404">
        <v>54</v>
      </c>
      <c r="AB139" s="388">
        <v>29200</v>
      </c>
      <c r="AC139" s="433">
        <v>15025</v>
      </c>
      <c r="AD139" s="433">
        <v>15500</v>
      </c>
      <c r="AE139" s="388">
        <v>29200</v>
      </c>
      <c r="AF139" s="388">
        <v>29950</v>
      </c>
      <c r="AG139" s="388">
        <v>30750</v>
      </c>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386"/>
      <c r="BY139" s="386"/>
      <c r="BZ139" s="386"/>
      <c r="CA139" s="386"/>
      <c r="CB139" s="386"/>
      <c r="CC139" s="386"/>
      <c r="CD139" s="386"/>
      <c r="CE139" s="386"/>
      <c r="CF139" s="386"/>
      <c r="CG139" s="386"/>
      <c r="CH139" s="386"/>
      <c r="CI139" s="386"/>
      <c r="CJ139" s="386"/>
      <c r="CK139" s="386"/>
      <c r="CL139" s="386"/>
      <c r="CM139" s="386"/>
      <c r="CN139" s="386"/>
      <c r="CO139" s="386"/>
      <c r="CP139" s="386"/>
      <c r="CQ139" s="386"/>
      <c r="CR139" s="386"/>
      <c r="CS139" s="386"/>
      <c r="CT139" s="386"/>
      <c r="CU139" s="386"/>
      <c r="CV139" s="386"/>
      <c r="CW139" s="386"/>
      <c r="CX139" s="386"/>
      <c r="CY139" s="386"/>
      <c r="CZ139" s="386"/>
      <c r="DA139" s="386"/>
      <c r="DB139" s="386"/>
      <c r="DC139" s="386"/>
      <c r="DD139" s="386"/>
      <c r="DE139" s="386"/>
      <c r="DF139" s="386"/>
      <c r="DG139" s="386"/>
      <c r="DH139" s="386"/>
      <c r="DI139" s="386"/>
      <c r="DJ139" s="386"/>
      <c r="DK139" s="386"/>
      <c r="DL139" s="386"/>
      <c r="DM139" s="386"/>
      <c r="DN139" s="386"/>
      <c r="DO139" s="386"/>
      <c r="DP139" s="386"/>
      <c r="DQ139" s="386"/>
      <c r="DR139" s="386"/>
      <c r="DS139" s="386"/>
      <c r="DT139" s="386"/>
      <c r="DU139" s="386"/>
      <c r="DV139" s="386"/>
      <c r="DW139" s="386"/>
      <c r="DX139" s="386"/>
      <c r="DY139" s="386"/>
      <c r="DZ139" s="386"/>
      <c r="EA139" s="386"/>
      <c r="EB139" s="386"/>
      <c r="EC139" s="386"/>
      <c r="ED139" s="386"/>
      <c r="EE139" s="386"/>
      <c r="EF139" s="386"/>
      <c r="EG139" s="386"/>
      <c r="EH139" s="386"/>
      <c r="EI139" s="386"/>
      <c r="EJ139" s="386"/>
      <c r="EK139" s="386"/>
      <c r="EL139" s="386"/>
      <c r="EM139" s="386"/>
      <c r="EN139" s="386"/>
      <c r="EO139" s="386"/>
      <c r="EP139" s="386"/>
      <c r="EQ139" s="386"/>
      <c r="ER139" s="386"/>
      <c r="ES139" s="386"/>
      <c r="ET139" s="386"/>
      <c r="EU139" s="386"/>
      <c r="EV139" s="386"/>
      <c r="EW139" s="386"/>
      <c r="EX139" s="386"/>
      <c r="EY139" s="386"/>
      <c r="EZ139" s="386"/>
      <c r="FA139" s="386"/>
      <c r="FB139" s="386"/>
      <c r="FC139" s="386"/>
      <c r="FD139" s="386"/>
      <c r="FE139" s="386"/>
      <c r="FF139" s="386"/>
      <c r="FG139" s="386"/>
      <c r="FH139" s="386"/>
      <c r="FI139" s="386"/>
      <c r="FJ139" s="386"/>
      <c r="FK139" s="386"/>
      <c r="FL139" s="386"/>
      <c r="FM139" s="386"/>
      <c r="FN139" s="386"/>
      <c r="FO139" s="386"/>
      <c r="FP139" s="386"/>
      <c r="FQ139" s="386"/>
      <c r="FR139" s="386"/>
      <c r="FS139" s="386"/>
      <c r="FT139" s="386"/>
      <c r="FU139" s="386"/>
      <c r="FV139" s="386"/>
      <c r="FW139" s="386"/>
      <c r="FX139" s="386"/>
      <c r="FY139" s="386"/>
      <c r="FZ139" s="386"/>
      <c r="GA139" s="386"/>
      <c r="GB139" s="386"/>
      <c r="GC139" s="386"/>
      <c r="GD139" s="386"/>
      <c r="GE139" s="386"/>
      <c r="GF139" s="386"/>
      <c r="GG139" s="386"/>
      <c r="GH139" s="386"/>
      <c r="GI139" s="386"/>
      <c r="GJ139" s="386"/>
      <c r="GK139" s="386"/>
      <c r="GL139" s="386"/>
    </row>
    <row r="140" spans="1:194" s="393" customFormat="1" ht="27.75" customHeight="1" hidden="1">
      <c r="A140" s="386"/>
      <c r="B140" s="465"/>
      <c r="C140" s="465"/>
      <c r="D140" s="465"/>
      <c r="E140" s="465"/>
      <c r="F140" s="465"/>
      <c r="G140" s="465"/>
      <c r="H140" s="465"/>
      <c r="I140" s="465"/>
      <c r="J140" s="465"/>
      <c r="K140" s="465"/>
      <c r="L140" s="465"/>
      <c r="M140" s="465"/>
      <c r="N140" s="386"/>
      <c r="O140" s="386"/>
      <c r="P140" s="386"/>
      <c r="Q140" s="386"/>
      <c r="R140" s="386"/>
      <c r="S140" s="386"/>
      <c r="T140" s="386"/>
      <c r="U140" s="386"/>
      <c r="V140" s="386"/>
      <c r="W140" s="386"/>
      <c r="X140" s="386"/>
      <c r="Y140" s="386"/>
      <c r="Z140" s="386"/>
      <c r="AA140" s="404">
        <v>55</v>
      </c>
      <c r="AB140" s="388">
        <v>29950</v>
      </c>
      <c r="AC140" s="433">
        <v>15500</v>
      </c>
      <c r="AD140" s="433">
        <v>15975</v>
      </c>
      <c r="AE140" s="388">
        <v>29950</v>
      </c>
      <c r="AF140" s="388">
        <v>30750</v>
      </c>
      <c r="AG140" s="388">
        <v>31550</v>
      </c>
      <c r="AH140" s="386"/>
      <c r="AI140" s="386"/>
      <c r="AJ140" s="386"/>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6"/>
      <c r="BM140" s="386"/>
      <c r="BN140" s="386"/>
      <c r="BO140" s="386"/>
      <c r="BP140" s="386"/>
      <c r="BQ140" s="386"/>
      <c r="BR140" s="386"/>
      <c r="BS140" s="386"/>
      <c r="BT140" s="386"/>
      <c r="BU140" s="386"/>
      <c r="BV140" s="386"/>
      <c r="BW140" s="386"/>
      <c r="BX140" s="386"/>
      <c r="BY140" s="386"/>
      <c r="BZ140" s="386"/>
      <c r="CA140" s="386"/>
      <c r="CB140" s="386"/>
      <c r="CC140" s="386"/>
      <c r="CD140" s="386"/>
      <c r="CE140" s="386"/>
      <c r="CF140" s="386"/>
      <c r="CG140" s="386"/>
      <c r="CH140" s="386"/>
      <c r="CI140" s="386"/>
      <c r="CJ140" s="386"/>
      <c r="CK140" s="386"/>
      <c r="CL140" s="386"/>
      <c r="CM140" s="386"/>
      <c r="CN140" s="386"/>
      <c r="CO140" s="386"/>
      <c r="CP140" s="386"/>
      <c r="CQ140" s="386"/>
      <c r="CR140" s="386"/>
      <c r="CS140" s="386"/>
      <c r="CT140" s="386"/>
      <c r="CU140" s="386"/>
      <c r="CV140" s="386"/>
      <c r="CW140" s="386"/>
      <c r="CX140" s="386"/>
      <c r="CY140" s="386"/>
      <c r="CZ140" s="386"/>
      <c r="DA140" s="386"/>
      <c r="DB140" s="386"/>
      <c r="DC140" s="386"/>
      <c r="DD140" s="386"/>
      <c r="DE140" s="386"/>
      <c r="DF140" s="386"/>
      <c r="DG140" s="386"/>
      <c r="DH140" s="386"/>
      <c r="DI140" s="386"/>
      <c r="DJ140" s="386"/>
      <c r="DK140" s="386"/>
      <c r="DL140" s="386"/>
      <c r="DM140" s="386"/>
      <c r="DN140" s="386"/>
      <c r="DO140" s="386"/>
      <c r="DP140" s="386"/>
      <c r="DQ140" s="386"/>
      <c r="DR140" s="386"/>
      <c r="DS140" s="386"/>
      <c r="DT140" s="386"/>
      <c r="DU140" s="386"/>
      <c r="DV140" s="386"/>
      <c r="DW140" s="386"/>
      <c r="DX140" s="386"/>
      <c r="DY140" s="386"/>
      <c r="DZ140" s="386"/>
      <c r="EA140" s="386"/>
      <c r="EB140" s="386"/>
      <c r="EC140" s="386"/>
      <c r="ED140" s="386"/>
      <c r="EE140" s="386"/>
      <c r="EF140" s="386"/>
      <c r="EG140" s="386"/>
      <c r="EH140" s="386"/>
      <c r="EI140" s="386"/>
      <c r="EJ140" s="386"/>
      <c r="EK140" s="386"/>
      <c r="EL140" s="386"/>
      <c r="EM140" s="386"/>
      <c r="EN140" s="386"/>
      <c r="EO140" s="386"/>
      <c r="EP140" s="386"/>
      <c r="EQ140" s="386"/>
      <c r="ER140" s="386"/>
      <c r="ES140" s="386"/>
      <c r="ET140" s="386"/>
      <c r="EU140" s="386"/>
      <c r="EV140" s="386"/>
      <c r="EW140" s="386"/>
      <c r="EX140" s="386"/>
      <c r="EY140" s="386"/>
      <c r="EZ140" s="386"/>
      <c r="FA140" s="386"/>
      <c r="FB140" s="386"/>
      <c r="FC140" s="386"/>
      <c r="FD140" s="386"/>
      <c r="FE140" s="386"/>
      <c r="FF140" s="386"/>
      <c r="FG140" s="386"/>
      <c r="FH140" s="386"/>
      <c r="FI140" s="386"/>
      <c r="FJ140" s="386"/>
      <c r="FK140" s="386"/>
      <c r="FL140" s="386"/>
      <c r="FM140" s="386"/>
      <c r="FN140" s="386"/>
      <c r="FO140" s="386"/>
      <c r="FP140" s="386"/>
      <c r="FQ140" s="386"/>
      <c r="FR140" s="386"/>
      <c r="FS140" s="386"/>
      <c r="FT140" s="386"/>
      <c r="FU140" s="386"/>
      <c r="FV140" s="386"/>
      <c r="FW140" s="386"/>
      <c r="FX140" s="386"/>
      <c r="FY140" s="386"/>
      <c r="FZ140" s="386"/>
      <c r="GA140" s="386"/>
      <c r="GB140" s="386"/>
      <c r="GC140" s="386"/>
      <c r="GD140" s="386"/>
      <c r="GE140" s="386"/>
      <c r="GF140" s="386"/>
      <c r="GG140" s="386"/>
      <c r="GH140" s="386"/>
      <c r="GI140" s="386"/>
      <c r="GJ140" s="386"/>
      <c r="GK140" s="386"/>
      <c r="GL140" s="386"/>
    </row>
    <row r="141" spans="1:194" s="393" customFormat="1" ht="27.75" customHeight="1" hidden="1">
      <c r="A141" s="386"/>
      <c r="B141" s="465"/>
      <c r="C141" s="465"/>
      <c r="D141" s="465"/>
      <c r="E141" s="465"/>
      <c r="F141" s="465"/>
      <c r="G141" s="465"/>
      <c r="H141" s="465"/>
      <c r="I141" s="465"/>
      <c r="J141" s="465"/>
      <c r="K141" s="465"/>
      <c r="L141" s="465"/>
      <c r="M141" s="465"/>
      <c r="N141" s="386"/>
      <c r="O141" s="386"/>
      <c r="P141" s="386"/>
      <c r="Q141" s="386"/>
      <c r="R141" s="386"/>
      <c r="S141" s="386"/>
      <c r="T141" s="386"/>
      <c r="U141" s="386"/>
      <c r="V141" s="386"/>
      <c r="W141" s="386"/>
      <c r="X141" s="386"/>
      <c r="Y141" s="386"/>
      <c r="Z141" s="386"/>
      <c r="AA141" s="404">
        <v>56</v>
      </c>
      <c r="AB141" s="388">
        <v>30750</v>
      </c>
      <c r="AC141" s="433">
        <v>15975</v>
      </c>
      <c r="AD141" s="433">
        <v>16450</v>
      </c>
      <c r="AE141" s="388">
        <v>30750</v>
      </c>
      <c r="AF141" s="388">
        <v>31550</v>
      </c>
      <c r="AG141" s="388">
        <v>32350</v>
      </c>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386"/>
      <c r="BT141" s="386"/>
      <c r="BU141" s="386"/>
      <c r="BV141" s="386"/>
      <c r="BW141" s="386"/>
      <c r="BX141" s="386"/>
      <c r="BY141" s="386"/>
      <c r="BZ141" s="386"/>
      <c r="CA141" s="386"/>
      <c r="CB141" s="386"/>
      <c r="CC141" s="386"/>
      <c r="CD141" s="386"/>
      <c r="CE141" s="386"/>
      <c r="CF141" s="386"/>
      <c r="CG141" s="386"/>
      <c r="CH141" s="386"/>
      <c r="CI141" s="386"/>
      <c r="CJ141" s="386"/>
      <c r="CK141" s="386"/>
      <c r="CL141" s="386"/>
      <c r="CM141" s="386"/>
      <c r="CN141" s="386"/>
      <c r="CO141" s="386"/>
      <c r="CP141" s="386"/>
      <c r="CQ141" s="386"/>
      <c r="CR141" s="386"/>
      <c r="CS141" s="386"/>
      <c r="CT141" s="386"/>
      <c r="CU141" s="386"/>
      <c r="CV141" s="386"/>
      <c r="CW141" s="386"/>
      <c r="CX141" s="386"/>
      <c r="CY141" s="386"/>
      <c r="CZ141" s="386"/>
      <c r="DA141" s="386"/>
      <c r="DB141" s="386"/>
      <c r="DC141" s="386"/>
      <c r="DD141" s="386"/>
      <c r="DE141" s="386"/>
      <c r="DF141" s="386"/>
      <c r="DG141" s="386"/>
      <c r="DH141" s="386"/>
      <c r="DI141" s="386"/>
      <c r="DJ141" s="386"/>
      <c r="DK141" s="386"/>
      <c r="DL141" s="386"/>
      <c r="DM141" s="386"/>
      <c r="DN141" s="386"/>
      <c r="DO141" s="386"/>
      <c r="DP141" s="386"/>
      <c r="DQ141" s="386"/>
      <c r="DR141" s="386"/>
      <c r="DS141" s="386"/>
      <c r="DT141" s="386"/>
      <c r="DU141" s="386"/>
      <c r="DV141" s="386"/>
      <c r="DW141" s="386"/>
      <c r="DX141" s="386"/>
      <c r="DY141" s="386"/>
      <c r="DZ141" s="386"/>
      <c r="EA141" s="386"/>
      <c r="EB141" s="386"/>
      <c r="EC141" s="386"/>
      <c r="ED141" s="386"/>
      <c r="EE141" s="386"/>
      <c r="EF141" s="386"/>
      <c r="EG141" s="386"/>
      <c r="EH141" s="386"/>
      <c r="EI141" s="386"/>
      <c r="EJ141" s="386"/>
      <c r="EK141" s="386"/>
      <c r="EL141" s="386"/>
      <c r="EM141" s="386"/>
      <c r="EN141" s="386"/>
      <c r="EO141" s="386"/>
      <c r="EP141" s="386"/>
      <c r="EQ141" s="386"/>
      <c r="ER141" s="386"/>
      <c r="ES141" s="386"/>
      <c r="ET141" s="386"/>
      <c r="EU141" s="386"/>
      <c r="EV141" s="386"/>
      <c r="EW141" s="386"/>
      <c r="EX141" s="386"/>
      <c r="EY141" s="386"/>
      <c r="EZ141" s="386"/>
      <c r="FA141" s="386"/>
      <c r="FB141" s="386"/>
      <c r="FC141" s="386"/>
      <c r="FD141" s="386"/>
      <c r="FE141" s="386"/>
      <c r="FF141" s="386"/>
      <c r="FG141" s="386"/>
      <c r="FH141" s="386"/>
      <c r="FI141" s="386"/>
      <c r="FJ141" s="386"/>
      <c r="FK141" s="386"/>
      <c r="FL141" s="386"/>
      <c r="FM141" s="386"/>
      <c r="FN141" s="386"/>
      <c r="FO141" s="386"/>
      <c r="FP141" s="386"/>
      <c r="FQ141" s="386"/>
      <c r="FR141" s="386"/>
      <c r="FS141" s="386"/>
      <c r="FT141" s="386"/>
      <c r="FU141" s="386"/>
      <c r="FV141" s="386"/>
      <c r="FW141" s="386"/>
      <c r="FX141" s="386"/>
      <c r="FY141" s="386"/>
      <c r="FZ141" s="386"/>
      <c r="GA141" s="386"/>
      <c r="GB141" s="386"/>
      <c r="GC141" s="386"/>
      <c r="GD141" s="386"/>
      <c r="GE141" s="386"/>
      <c r="GF141" s="386"/>
      <c r="GG141" s="386"/>
      <c r="GH141" s="386"/>
      <c r="GI141" s="386"/>
      <c r="GJ141" s="386"/>
      <c r="GK141" s="386"/>
      <c r="GL141" s="386"/>
    </row>
    <row r="142" spans="1:194" s="393" customFormat="1" ht="27.75" customHeight="1" hidden="1">
      <c r="A142" s="386"/>
      <c r="B142" s="465"/>
      <c r="C142" s="465"/>
      <c r="D142" s="465"/>
      <c r="E142" s="465"/>
      <c r="F142" s="465"/>
      <c r="G142" s="465"/>
      <c r="H142" s="465"/>
      <c r="I142" s="465"/>
      <c r="J142" s="465"/>
      <c r="K142" s="465"/>
      <c r="L142" s="465"/>
      <c r="M142" s="465"/>
      <c r="N142" s="386"/>
      <c r="O142" s="386"/>
      <c r="P142" s="386"/>
      <c r="Q142" s="386"/>
      <c r="R142" s="386"/>
      <c r="S142" s="386"/>
      <c r="T142" s="386"/>
      <c r="U142" s="386"/>
      <c r="V142" s="386"/>
      <c r="W142" s="386"/>
      <c r="X142" s="386"/>
      <c r="Y142" s="386"/>
      <c r="Z142" s="386"/>
      <c r="AA142" s="404">
        <v>57</v>
      </c>
      <c r="AB142" s="388">
        <v>31550</v>
      </c>
      <c r="AC142" s="433">
        <v>16450</v>
      </c>
      <c r="AD142" s="433">
        <v>16925</v>
      </c>
      <c r="AE142" s="388">
        <v>31550</v>
      </c>
      <c r="AF142" s="388">
        <v>32350</v>
      </c>
      <c r="AG142" s="388">
        <v>33200</v>
      </c>
      <c r="AH142" s="386"/>
      <c r="AI142" s="386"/>
      <c r="AJ142" s="386"/>
      <c r="AK142" s="386"/>
      <c r="AL142" s="386"/>
      <c r="AM142" s="386"/>
      <c r="AN142" s="386"/>
      <c r="AO142" s="386"/>
      <c r="AP142" s="386"/>
      <c r="AQ142" s="386"/>
      <c r="AR142" s="386"/>
      <c r="AS142" s="386"/>
      <c r="AT142" s="386"/>
      <c r="AU142" s="386"/>
      <c r="AV142" s="386"/>
      <c r="AW142" s="386"/>
      <c r="AX142" s="386"/>
      <c r="AY142" s="386"/>
      <c r="AZ142" s="386"/>
      <c r="BA142" s="386"/>
      <c r="BB142" s="386"/>
      <c r="BC142" s="386"/>
      <c r="BD142" s="386"/>
      <c r="BE142" s="386"/>
      <c r="BF142" s="386"/>
      <c r="BG142" s="386"/>
      <c r="BH142" s="386"/>
      <c r="BI142" s="386"/>
      <c r="BJ142" s="386"/>
      <c r="BK142" s="386"/>
      <c r="BL142" s="386"/>
      <c r="BM142" s="386"/>
      <c r="BN142" s="386"/>
      <c r="BO142" s="386"/>
      <c r="BP142" s="386"/>
      <c r="BQ142" s="386"/>
      <c r="BR142" s="386"/>
      <c r="BS142" s="386"/>
      <c r="BT142" s="386"/>
      <c r="BU142" s="386"/>
      <c r="BV142" s="386"/>
      <c r="BW142" s="386"/>
      <c r="BX142" s="386"/>
      <c r="BY142" s="386"/>
      <c r="BZ142" s="386"/>
      <c r="CA142" s="386"/>
      <c r="CB142" s="386"/>
      <c r="CC142" s="386"/>
      <c r="CD142" s="386"/>
      <c r="CE142" s="386"/>
      <c r="CF142" s="386"/>
      <c r="CG142" s="386"/>
      <c r="CH142" s="386"/>
      <c r="CI142" s="386"/>
      <c r="CJ142" s="386"/>
      <c r="CK142" s="386"/>
      <c r="CL142" s="386"/>
      <c r="CM142" s="386"/>
      <c r="CN142" s="386"/>
      <c r="CO142" s="386"/>
      <c r="CP142" s="386"/>
      <c r="CQ142" s="386"/>
      <c r="CR142" s="386"/>
      <c r="CS142" s="386"/>
      <c r="CT142" s="386"/>
      <c r="CU142" s="386"/>
      <c r="CV142" s="386"/>
      <c r="CW142" s="386"/>
      <c r="CX142" s="386"/>
      <c r="CY142" s="386"/>
      <c r="CZ142" s="386"/>
      <c r="DA142" s="386"/>
      <c r="DB142" s="386"/>
      <c r="DC142" s="386"/>
      <c r="DD142" s="386"/>
      <c r="DE142" s="386"/>
      <c r="DF142" s="386"/>
      <c r="DG142" s="386"/>
      <c r="DH142" s="386"/>
      <c r="DI142" s="386"/>
      <c r="DJ142" s="386"/>
      <c r="DK142" s="386"/>
      <c r="DL142" s="386"/>
      <c r="DM142" s="386"/>
      <c r="DN142" s="386"/>
      <c r="DO142" s="386"/>
      <c r="DP142" s="386"/>
      <c r="DQ142" s="386"/>
      <c r="DR142" s="386"/>
      <c r="DS142" s="386"/>
      <c r="DT142" s="386"/>
      <c r="DU142" s="386"/>
      <c r="DV142" s="386"/>
      <c r="DW142" s="386"/>
      <c r="DX142" s="386"/>
      <c r="DY142" s="386"/>
      <c r="DZ142" s="386"/>
      <c r="EA142" s="386"/>
      <c r="EB142" s="386"/>
      <c r="EC142" s="386"/>
      <c r="ED142" s="386"/>
      <c r="EE142" s="386"/>
      <c r="EF142" s="386"/>
      <c r="EG142" s="386"/>
      <c r="EH142" s="386"/>
      <c r="EI142" s="386"/>
      <c r="EJ142" s="386"/>
      <c r="EK142" s="386"/>
      <c r="EL142" s="386"/>
      <c r="EM142" s="386"/>
      <c r="EN142" s="386"/>
      <c r="EO142" s="386"/>
      <c r="EP142" s="386"/>
      <c r="EQ142" s="386"/>
      <c r="ER142" s="386"/>
      <c r="ES142" s="386"/>
      <c r="ET142" s="386"/>
      <c r="EU142" s="386"/>
      <c r="EV142" s="386"/>
      <c r="EW142" s="386"/>
      <c r="EX142" s="386"/>
      <c r="EY142" s="386"/>
      <c r="EZ142" s="386"/>
      <c r="FA142" s="386"/>
      <c r="FB142" s="386"/>
      <c r="FC142" s="386"/>
      <c r="FD142" s="386"/>
      <c r="FE142" s="386"/>
      <c r="FF142" s="386"/>
      <c r="FG142" s="386"/>
      <c r="FH142" s="386"/>
      <c r="FI142" s="386"/>
      <c r="FJ142" s="386"/>
      <c r="FK142" s="386"/>
      <c r="FL142" s="386"/>
      <c r="FM142" s="386"/>
      <c r="FN142" s="386"/>
      <c r="FO142" s="386"/>
      <c r="FP142" s="386"/>
      <c r="FQ142" s="386"/>
      <c r="FR142" s="386"/>
      <c r="FS142" s="386"/>
      <c r="FT142" s="386"/>
      <c r="FU142" s="386"/>
      <c r="FV142" s="386"/>
      <c r="FW142" s="386"/>
      <c r="FX142" s="386"/>
      <c r="FY142" s="386"/>
      <c r="FZ142" s="386"/>
      <c r="GA142" s="386"/>
      <c r="GB142" s="386"/>
      <c r="GC142" s="386"/>
      <c r="GD142" s="386"/>
      <c r="GE142" s="386"/>
      <c r="GF142" s="386"/>
      <c r="GG142" s="386"/>
      <c r="GH142" s="386"/>
      <c r="GI142" s="386"/>
      <c r="GJ142" s="386"/>
      <c r="GK142" s="386"/>
      <c r="GL142" s="386"/>
    </row>
    <row r="143" spans="1:194" s="393" customFormat="1" ht="27.75" customHeight="1" hidden="1">
      <c r="A143" s="386"/>
      <c r="B143" s="465"/>
      <c r="C143" s="465"/>
      <c r="D143" s="465"/>
      <c r="E143" s="465"/>
      <c r="F143" s="465"/>
      <c r="G143" s="465"/>
      <c r="H143" s="465"/>
      <c r="I143" s="465"/>
      <c r="J143" s="465"/>
      <c r="K143" s="465"/>
      <c r="L143" s="465"/>
      <c r="M143" s="465"/>
      <c r="N143" s="386"/>
      <c r="O143" s="386"/>
      <c r="P143" s="386"/>
      <c r="Q143" s="386"/>
      <c r="R143" s="386"/>
      <c r="S143" s="386"/>
      <c r="T143" s="386"/>
      <c r="U143" s="386"/>
      <c r="V143" s="386"/>
      <c r="W143" s="386"/>
      <c r="X143" s="386"/>
      <c r="Y143" s="386"/>
      <c r="Z143" s="386"/>
      <c r="AA143" s="404">
        <v>58</v>
      </c>
      <c r="AB143" s="388">
        <v>32350</v>
      </c>
      <c r="AC143" s="433">
        <v>16925</v>
      </c>
      <c r="AD143" s="433">
        <v>17475</v>
      </c>
      <c r="AE143" s="388">
        <v>32350</v>
      </c>
      <c r="AF143" s="388">
        <v>33200</v>
      </c>
      <c r="AG143" s="388">
        <v>34050</v>
      </c>
      <c r="AH143" s="386"/>
      <c r="AI143" s="386"/>
      <c r="AJ143" s="386"/>
      <c r="AK143" s="386"/>
      <c r="AL143" s="386"/>
      <c r="AM143" s="386"/>
      <c r="AN143" s="386"/>
      <c r="AO143" s="386"/>
      <c r="AP143" s="386"/>
      <c r="AQ143" s="386"/>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386"/>
      <c r="BM143" s="386"/>
      <c r="BN143" s="386"/>
      <c r="BO143" s="386"/>
      <c r="BP143" s="386"/>
      <c r="BQ143" s="386"/>
      <c r="BR143" s="386"/>
      <c r="BS143" s="386"/>
      <c r="BT143" s="386"/>
      <c r="BU143" s="386"/>
      <c r="BV143" s="386"/>
      <c r="BW143" s="386"/>
      <c r="BX143" s="386"/>
      <c r="BY143" s="386"/>
      <c r="BZ143" s="386"/>
      <c r="CA143" s="386"/>
      <c r="CB143" s="386"/>
      <c r="CC143" s="386"/>
      <c r="CD143" s="386"/>
      <c r="CE143" s="386"/>
      <c r="CF143" s="386"/>
      <c r="CG143" s="386"/>
      <c r="CH143" s="386"/>
      <c r="CI143" s="386"/>
      <c r="CJ143" s="386"/>
      <c r="CK143" s="386"/>
      <c r="CL143" s="386"/>
      <c r="CM143" s="386"/>
      <c r="CN143" s="386"/>
      <c r="CO143" s="386"/>
      <c r="CP143" s="386"/>
      <c r="CQ143" s="386"/>
      <c r="CR143" s="386"/>
      <c r="CS143" s="386"/>
      <c r="CT143" s="386"/>
      <c r="CU143" s="386"/>
      <c r="CV143" s="386"/>
      <c r="CW143" s="386"/>
      <c r="CX143" s="386"/>
      <c r="CY143" s="386"/>
      <c r="CZ143" s="386"/>
      <c r="DA143" s="386"/>
      <c r="DB143" s="386"/>
      <c r="DC143" s="386"/>
      <c r="DD143" s="386"/>
      <c r="DE143" s="386"/>
      <c r="DF143" s="386"/>
      <c r="DG143" s="386"/>
      <c r="DH143" s="386"/>
      <c r="DI143" s="386"/>
      <c r="DJ143" s="386"/>
      <c r="DK143" s="386"/>
      <c r="DL143" s="386"/>
      <c r="DM143" s="386"/>
      <c r="DN143" s="386"/>
      <c r="DO143" s="386"/>
      <c r="DP143" s="386"/>
      <c r="DQ143" s="386"/>
      <c r="DR143" s="386"/>
      <c r="DS143" s="386"/>
      <c r="DT143" s="386"/>
      <c r="DU143" s="386"/>
      <c r="DV143" s="386"/>
      <c r="DW143" s="386"/>
      <c r="DX143" s="386"/>
      <c r="DY143" s="386"/>
      <c r="DZ143" s="386"/>
      <c r="EA143" s="386"/>
      <c r="EB143" s="386"/>
      <c r="EC143" s="386"/>
      <c r="ED143" s="386"/>
      <c r="EE143" s="386"/>
      <c r="EF143" s="386"/>
      <c r="EG143" s="386"/>
      <c r="EH143" s="386"/>
      <c r="EI143" s="386"/>
      <c r="EJ143" s="386"/>
      <c r="EK143" s="386"/>
      <c r="EL143" s="386"/>
      <c r="EM143" s="386"/>
      <c r="EN143" s="386"/>
      <c r="EO143" s="386"/>
      <c r="EP143" s="386"/>
      <c r="EQ143" s="386"/>
      <c r="ER143" s="386"/>
      <c r="ES143" s="386"/>
      <c r="ET143" s="386"/>
      <c r="EU143" s="386"/>
      <c r="EV143" s="386"/>
      <c r="EW143" s="386"/>
      <c r="EX143" s="386"/>
      <c r="EY143" s="386"/>
      <c r="EZ143" s="386"/>
      <c r="FA143" s="386"/>
      <c r="FB143" s="386"/>
      <c r="FC143" s="386"/>
      <c r="FD143" s="386"/>
      <c r="FE143" s="386"/>
      <c r="FF143" s="386"/>
      <c r="FG143" s="386"/>
      <c r="FH143" s="386"/>
      <c r="FI143" s="386"/>
      <c r="FJ143" s="386"/>
      <c r="FK143" s="386"/>
      <c r="FL143" s="386"/>
      <c r="FM143" s="386"/>
      <c r="FN143" s="386"/>
      <c r="FO143" s="386"/>
      <c r="FP143" s="386"/>
      <c r="FQ143" s="386"/>
      <c r="FR143" s="386"/>
      <c r="FS143" s="386"/>
      <c r="FT143" s="386"/>
      <c r="FU143" s="386"/>
      <c r="FV143" s="386"/>
      <c r="FW143" s="386"/>
      <c r="FX143" s="386"/>
      <c r="FY143" s="386"/>
      <c r="FZ143" s="386"/>
      <c r="GA143" s="386"/>
      <c r="GB143" s="386"/>
      <c r="GC143" s="386"/>
      <c r="GD143" s="386"/>
      <c r="GE143" s="386"/>
      <c r="GF143" s="386"/>
      <c r="GG143" s="386"/>
      <c r="GH143" s="386"/>
      <c r="GI143" s="386"/>
      <c r="GJ143" s="386"/>
      <c r="GK143" s="386"/>
      <c r="GL143" s="386"/>
    </row>
    <row r="144" spans="1:194" s="393" customFormat="1" ht="27.75" customHeight="1" hidden="1" thickBot="1">
      <c r="A144" s="386"/>
      <c r="B144" s="465"/>
      <c r="C144" s="465"/>
      <c r="D144" s="465"/>
      <c r="E144" s="465"/>
      <c r="F144" s="465"/>
      <c r="G144" s="465"/>
      <c r="H144" s="465"/>
      <c r="I144" s="465"/>
      <c r="J144" s="465"/>
      <c r="K144" s="465"/>
      <c r="L144" s="465"/>
      <c r="M144" s="465"/>
      <c r="N144" s="386"/>
      <c r="O144" s="386"/>
      <c r="P144" s="386"/>
      <c r="Q144" s="386"/>
      <c r="R144" s="386"/>
      <c r="S144" s="386"/>
      <c r="T144" s="386"/>
      <c r="U144" s="386"/>
      <c r="V144" s="386"/>
      <c r="W144" s="386"/>
      <c r="X144" s="386"/>
      <c r="Y144" s="386"/>
      <c r="Z144" s="386"/>
      <c r="AA144" s="404">
        <v>59</v>
      </c>
      <c r="AB144" s="388">
        <v>33200</v>
      </c>
      <c r="AC144" s="433">
        <v>17475</v>
      </c>
      <c r="AD144" s="434">
        <v>18025</v>
      </c>
      <c r="AE144" s="388">
        <v>33200</v>
      </c>
      <c r="AF144" s="388">
        <v>34050</v>
      </c>
      <c r="AG144" s="388">
        <v>34900</v>
      </c>
      <c r="AH144" s="386"/>
      <c r="AI144" s="386"/>
      <c r="AJ144" s="386"/>
      <c r="AK144" s="386"/>
      <c r="AL144" s="386"/>
      <c r="AM144" s="386"/>
      <c r="AN144" s="386"/>
      <c r="AO144" s="386"/>
      <c r="AP144" s="386"/>
      <c r="AQ144" s="386"/>
      <c r="AR144" s="386"/>
      <c r="AS144" s="386"/>
      <c r="AT144" s="386"/>
      <c r="AU144" s="386"/>
      <c r="AV144" s="386"/>
      <c r="AW144" s="386"/>
      <c r="AX144" s="386"/>
      <c r="AY144" s="386"/>
      <c r="AZ144" s="386"/>
      <c r="BA144" s="386"/>
      <c r="BB144" s="386"/>
      <c r="BC144" s="386"/>
      <c r="BD144" s="386"/>
      <c r="BE144" s="386"/>
      <c r="BF144" s="386"/>
      <c r="BG144" s="386"/>
      <c r="BH144" s="386"/>
      <c r="BI144" s="386"/>
      <c r="BJ144" s="386"/>
      <c r="BK144" s="386"/>
      <c r="BL144" s="386"/>
      <c r="BM144" s="386"/>
      <c r="BN144" s="386"/>
      <c r="BO144" s="386"/>
      <c r="BP144" s="386"/>
      <c r="BQ144" s="386"/>
      <c r="BR144" s="386"/>
      <c r="BS144" s="386"/>
      <c r="BT144" s="386"/>
      <c r="BU144" s="386"/>
      <c r="BV144" s="386"/>
      <c r="BW144" s="386"/>
      <c r="BX144" s="386"/>
      <c r="BY144" s="386"/>
      <c r="BZ144" s="386"/>
      <c r="CA144" s="386"/>
      <c r="CB144" s="386"/>
      <c r="CC144" s="386"/>
      <c r="CD144" s="386"/>
      <c r="CE144" s="386"/>
      <c r="CF144" s="386"/>
      <c r="CG144" s="386"/>
      <c r="CH144" s="386"/>
      <c r="CI144" s="386"/>
      <c r="CJ144" s="386"/>
      <c r="CK144" s="386"/>
      <c r="CL144" s="386"/>
      <c r="CM144" s="386"/>
      <c r="CN144" s="386"/>
      <c r="CO144" s="386"/>
      <c r="CP144" s="386"/>
      <c r="CQ144" s="386"/>
      <c r="CR144" s="386"/>
      <c r="CS144" s="386"/>
      <c r="CT144" s="386"/>
      <c r="CU144" s="386"/>
      <c r="CV144" s="386"/>
      <c r="CW144" s="386"/>
      <c r="CX144" s="386"/>
      <c r="CY144" s="386"/>
      <c r="CZ144" s="386"/>
      <c r="DA144" s="386"/>
      <c r="DB144" s="386"/>
      <c r="DC144" s="386"/>
      <c r="DD144" s="386"/>
      <c r="DE144" s="386"/>
      <c r="DF144" s="386"/>
      <c r="DG144" s="386"/>
      <c r="DH144" s="386"/>
      <c r="DI144" s="386"/>
      <c r="DJ144" s="386"/>
      <c r="DK144" s="386"/>
      <c r="DL144" s="386"/>
      <c r="DM144" s="386"/>
      <c r="DN144" s="386"/>
      <c r="DO144" s="386"/>
      <c r="DP144" s="386"/>
      <c r="DQ144" s="386"/>
      <c r="DR144" s="386"/>
      <c r="DS144" s="386"/>
      <c r="DT144" s="386"/>
      <c r="DU144" s="386"/>
      <c r="DV144" s="386"/>
      <c r="DW144" s="386"/>
      <c r="DX144" s="386"/>
      <c r="DY144" s="386"/>
      <c r="DZ144" s="386"/>
      <c r="EA144" s="386"/>
      <c r="EB144" s="386"/>
      <c r="EC144" s="386"/>
      <c r="ED144" s="386"/>
      <c r="EE144" s="386"/>
      <c r="EF144" s="386"/>
      <c r="EG144" s="386"/>
      <c r="EH144" s="386"/>
      <c r="EI144" s="386"/>
      <c r="EJ144" s="386"/>
      <c r="EK144" s="386"/>
      <c r="EL144" s="386"/>
      <c r="EM144" s="386"/>
      <c r="EN144" s="386"/>
      <c r="EO144" s="386"/>
      <c r="EP144" s="386"/>
      <c r="EQ144" s="386"/>
      <c r="ER144" s="386"/>
      <c r="ES144" s="386"/>
      <c r="ET144" s="386"/>
      <c r="EU144" s="386"/>
      <c r="EV144" s="386"/>
      <c r="EW144" s="386"/>
      <c r="EX144" s="386"/>
      <c r="EY144" s="386"/>
      <c r="EZ144" s="386"/>
      <c r="FA144" s="386"/>
      <c r="FB144" s="386"/>
      <c r="FC144" s="386"/>
      <c r="FD144" s="386"/>
      <c r="FE144" s="386"/>
      <c r="FF144" s="386"/>
      <c r="FG144" s="386"/>
      <c r="FH144" s="386"/>
      <c r="FI144" s="386"/>
      <c r="FJ144" s="386"/>
      <c r="FK144" s="386"/>
      <c r="FL144" s="386"/>
      <c r="FM144" s="386"/>
      <c r="FN144" s="386"/>
      <c r="FO144" s="386"/>
      <c r="FP144" s="386"/>
      <c r="FQ144" s="386"/>
      <c r="FR144" s="386"/>
      <c r="FS144" s="386"/>
      <c r="FT144" s="386"/>
      <c r="FU144" s="386"/>
      <c r="FV144" s="386"/>
      <c r="FW144" s="386"/>
      <c r="FX144" s="386"/>
      <c r="FY144" s="386"/>
      <c r="FZ144" s="386"/>
      <c r="GA144" s="386"/>
      <c r="GB144" s="386"/>
      <c r="GC144" s="386"/>
      <c r="GD144" s="386"/>
      <c r="GE144" s="386"/>
      <c r="GF144" s="386"/>
      <c r="GG144" s="386"/>
      <c r="GH144" s="386"/>
      <c r="GI144" s="386"/>
      <c r="GJ144" s="386"/>
      <c r="GK144" s="386"/>
      <c r="GL144" s="386"/>
    </row>
    <row r="145" spans="1:194" s="393" customFormat="1" ht="27.75" customHeight="1" hidden="1" thickBot="1">
      <c r="A145" s="386"/>
      <c r="B145" s="465"/>
      <c r="C145" s="465"/>
      <c r="D145" s="465"/>
      <c r="E145" s="465"/>
      <c r="F145" s="465"/>
      <c r="G145" s="465"/>
      <c r="H145" s="465"/>
      <c r="I145" s="465"/>
      <c r="J145" s="465"/>
      <c r="K145" s="465"/>
      <c r="L145" s="465"/>
      <c r="M145" s="465"/>
      <c r="N145" s="386"/>
      <c r="O145" s="386"/>
      <c r="P145" s="386"/>
      <c r="Q145" s="386"/>
      <c r="R145" s="386"/>
      <c r="S145" s="386"/>
      <c r="T145" s="386"/>
      <c r="U145" s="386"/>
      <c r="V145" s="386"/>
      <c r="W145" s="386"/>
      <c r="X145" s="386"/>
      <c r="Y145" s="386"/>
      <c r="Z145" s="386"/>
      <c r="AA145" s="404">
        <v>60</v>
      </c>
      <c r="AB145" s="388">
        <v>34050</v>
      </c>
      <c r="AC145" s="434">
        <v>18025</v>
      </c>
      <c r="AD145" s="435">
        <v>18575</v>
      </c>
      <c r="AE145" s="388">
        <v>34050</v>
      </c>
      <c r="AF145" s="388">
        <v>34900</v>
      </c>
      <c r="AG145" s="388">
        <v>35800</v>
      </c>
      <c r="AH145" s="386"/>
      <c r="AI145" s="386"/>
      <c r="AJ145" s="386"/>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c r="BN145" s="386"/>
      <c r="BO145" s="386"/>
      <c r="BP145" s="386"/>
      <c r="BQ145" s="386"/>
      <c r="BR145" s="386"/>
      <c r="BS145" s="386"/>
      <c r="BT145" s="386"/>
      <c r="BU145" s="386"/>
      <c r="BV145" s="386"/>
      <c r="BW145" s="386"/>
      <c r="BX145" s="386"/>
      <c r="BY145" s="386"/>
      <c r="BZ145" s="386"/>
      <c r="CA145" s="386"/>
      <c r="CB145" s="386"/>
      <c r="CC145" s="386"/>
      <c r="CD145" s="386"/>
      <c r="CE145" s="386"/>
      <c r="CF145" s="386"/>
      <c r="CG145" s="386"/>
      <c r="CH145" s="386"/>
      <c r="CI145" s="386"/>
      <c r="CJ145" s="386"/>
      <c r="CK145" s="386"/>
      <c r="CL145" s="386"/>
      <c r="CM145" s="386"/>
      <c r="CN145" s="386"/>
      <c r="CO145" s="386"/>
      <c r="CP145" s="386"/>
      <c r="CQ145" s="386"/>
      <c r="CR145" s="386"/>
      <c r="CS145" s="386"/>
      <c r="CT145" s="386"/>
      <c r="CU145" s="386"/>
      <c r="CV145" s="386"/>
      <c r="CW145" s="386"/>
      <c r="CX145" s="386"/>
      <c r="CY145" s="386"/>
      <c r="CZ145" s="386"/>
      <c r="DA145" s="386"/>
      <c r="DB145" s="386"/>
      <c r="DC145" s="386"/>
      <c r="DD145" s="386"/>
      <c r="DE145" s="386"/>
      <c r="DF145" s="386"/>
      <c r="DG145" s="386"/>
      <c r="DH145" s="386"/>
      <c r="DI145" s="386"/>
      <c r="DJ145" s="386"/>
      <c r="DK145" s="386"/>
      <c r="DL145" s="386"/>
      <c r="DM145" s="386"/>
      <c r="DN145" s="386"/>
      <c r="DO145" s="386"/>
      <c r="DP145" s="386"/>
      <c r="DQ145" s="386"/>
      <c r="DR145" s="386"/>
      <c r="DS145" s="386"/>
      <c r="DT145" s="386"/>
      <c r="DU145" s="386"/>
      <c r="DV145" s="386"/>
      <c r="DW145" s="386"/>
      <c r="DX145" s="386"/>
      <c r="DY145" s="386"/>
      <c r="DZ145" s="386"/>
      <c r="EA145" s="386"/>
      <c r="EB145" s="386"/>
      <c r="EC145" s="386"/>
      <c r="ED145" s="386"/>
      <c r="EE145" s="386"/>
      <c r="EF145" s="386"/>
      <c r="EG145" s="386"/>
      <c r="EH145" s="386"/>
      <c r="EI145" s="386"/>
      <c r="EJ145" s="386"/>
      <c r="EK145" s="386"/>
      <c r="EL145" s="386"/>
      <c r="EM145" s="386"/>
      <c r="EN145" s="386"/>
      <c r="EO145" s="386"/>
      <c r="EP145" s="386"/>
      <c r="EQ145" s="386"/>
      <c r="ER145" s="386"/>
      <c r="ES145" s="386"/>
      <c r="ET145" s="386"/>
      <c r="EU145" s="386"/>
      <c r="EV145" s="386"/>
      <c r="EW145" s="386"/>
      <c r="EX145" s="386"/>
      <c r="EY145" s="386"/>
      <c r="EZ145" s="386"/>
      <c r="FA145" s="386"/>
      <c r="FB145" s="386"/>
      <c r="FC145" s="386"/>
      <c r="FD145" s="386"/>
      <c r="FE145" s="386"/>
      <c r="FF145" s="386"/>
      <c r="FG145" s="386"/>
      <c r="FH145" s="386"/>
      <c r="FI145" s="386"/>
      <c r="FJ145" s="386"/>
      <c r="FK145" s="386"/>
      <c r="FL145" s="386"/>
      <c r="FM145" s="386"/>
      <c r="FN145" s="386"/>
      <c r="FO145" s="386"/>
      <c r="FP145" s="386"/>
      <c r="FQ145" s="386"/>
      <c r="FR145" s="386"/>
      <c r="FS145" s="386"/>
      <c r="FT145" s="386"/>
      <c r="FU145" s="386"/>
      <c r="FV145" s="386"/>
      <c r="FW145" s="386"/>
      <c r="FX145" s="386"/>
      <c r="FY145" s="386"/>
      <c r="FZ145" s="386"/>
      <c r="GA145" s="386"/>
      <c r="GB145" s="386"/>
      <c r="GC145" s="386"/>
      <c r="GD145" s="386"/>
      <c r="GE145" s="386"/>
      <c r="GF145" s="386"/>
      <c r="GG145" s="386"/>
      <c r="GH145" s="386"/>
      <c r="GI145" s="386"/>
      <c r="GJ145" s="386"/>
      <c r="GK145" s="386"/>
      <c r="GL145" s="386"/>
    </row>
    <row r="146" spans="1:194" s="393" customFormat="1" ht="27.75" customHeight="1" hidden="1">
      <c r="A146" s="386"/>
      <c r="B146" s="465"/>
      <c r="C146" s="465"/>
      <c r="D146" s="465"/>
      <c r="E146" s="465"/>
      <c r="F146" s="465"/>
      <c r="G146" s="465"/>
      <c r="H146" s="465"/>
      <c r="I146" s="465"/>
      <c r="J146" s="465"/>
      <c r="K146" s="465"/>
      <c r="L146" s="465"/>
      <c r="M146" s="465"/>
      <c r="N146" s="386"/>
      <c r="O146" s="386"/>
      <c r="P146" s="386"/>
      <c r="Q146" s="386"/>
      <c r="R146" s="386"/>
      <c r="S146" s="386"/>
      <c r="T146" s="386"/>
      <c r="U146" s="386"/>
      <c r="V146" s="386"/>
      <c r="W146" s="386"/>
      <c r="X146" s="386"/>
      <c r="Y146" s="386"/>
      <c r="Z146" s="386"/>
      <c r="AA146" s="404">
        <v>61</v>
      </c>
      <c r="AB146" s="388">
        <v>34900</v>
      </c>
      <c r="AC146" s="435">
        <v>18575</v>
      </c>
      <c r="AD146" s="433">
        <v>19125</v>
      </c>
      <c r="AE146" s="388">
        <v>34900</v>
      </c>
      <c r="AF146" s="388">
        <v>35800</v>
      </c>
      <c r="AG146" s="388">
        <v>36700</v>
      </c>
      <c r="AH146" s="386"/>
      <c r="AI146" s="386"/>
      <c r="AJ146" s="386"/>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6"/>
      <c r="BH146" s="386"/>
      <c r="BI146" s="386"/>
      <c r="BJ146" s="386"/>
      <c r="BK146" s="386"/>
      <c r="BL146" s="386"/>
      <c r="BM146" s="386"/>
      <c r="BN146" s="386"/>
      <c r="BO146" s="386"/>
      <c r="BP146" s="386"/>
      <c r="BQ146" s="386"/>
      <c r="BR146" s="386"/>
      <c r="BS146" s="386"/>
      <c r="BT146" s="386"/>
      <c r="BU146" s="386"/>
      <c r="BV146" s="386"/>
      <c r="BW146" s="386"/>
      <c r="BX146" s="386"/>
      <c r="BY146" s="386"/>
      <c r="BZ146" s="386"/>
      <c r="CA146" s="386"/>
      <c r="CB146" s="386"/>
      <c r="CC146" s="386"/>
      <c r="CD146" s="386"/>
      <c r="CE146" s="386"/>
      <c r="CF146" s="386"/>
      <c r="CG146" s="386"/>
      <c r="CH146" s="386"/>
      <c r="CI146" s="386"/>
      <c r="CJ146" s="386"/>
      <c r="CK146" s="386"/>
      <c r="CL146" s="386"/>
      <c r="CM146" s="386"/>
      <c r="CN146" s="386"/>
      <c r="CO146" s="386"/>
      <c r="CP146" s="386"/>
      <c r="CQ146" s="386"/>
      <c r="CR146" s="386"/>
      <c r="CS146" s="386"/>
      <c r="CT146" s="386"/>
      <c r="CU146" s="386"/>
      <c r="CV146" s="386"/>
      <c r="CW146" s="386"/>
      <c r="CX146" s="386"/>
      <c r="CY146" s="386"/>
      <c r="CZ146" s="386"/>
      <c r="DA146" s="386"/>
      <c r="DB146" s="386"/>
      <c r="DC146" s="386"/>
      <c r="DD146" s="386"/>
      <c r="DE146" s="386"/>
      <c r="DF146" s="386"/>
      <c r="DG146" s="386"/>
      <c r="DH146" s="386"/>
      <c r="DI146" s="386"/>
      <c r="DJ146" s="386"/>
      <c r="DK146" s="386"/>
      <c r="DL146" s="386"/>
      <c r="DM146" s="386"/>
      <c r="DN146" s="386"/>
      <c r="DO146" s="386"/>
      <c r="DP146" s="386"/>
      <c r="DQ146" s="386"/>
      <c r="DR146" s="386"/>
      <c r="DS146" s="386"/>
      <c r="DT146" s="386"/>
      <c r="DU146" s="386"/>
      <c r="DV146" s="386"/>
      <c r="DW146" s="386"/>
      <c r="DX146" s="386"/>
      <c r="DY146" s="386"/>
      <c r="DZ146" s="386"/>
      <c r="EA146" s="386"/>
      <c r="EB146" s="386"/>
      <c r="EC146" s="386"/>
      <c r="ED146" s="386"/>
      <c r="EE146" s="386"/>
      <c r="EF146" s="386"/>
      <c r="EG146" s="386"/>
      <c r="EH146" s="386"/>
      <c r="EI146" s="386"/>
      <c r="EJ146" s="386"/>
      <c r="EK146" s="386"/>
      <c r="EL146" s="386"/>
      <c r="EM146" s="386"/>
      <c r="EN146" s="386"/>
      <c r="EO146" s="386"/>
      <c r="EP146" s="386"/>
      <c r="EQ146" s="386"/>
      <c r="ER146" s="386"/>
      <c r="ES146" s="386"/>
      <c r="ET146" s="386"/>
      <c r="EU146" s="386"/>
      <c r="EV146" s="386"/>
      <c r="EW146" s="386"/>
      <c r="EX146" s="386"/>
      <c r="EY146" s="386"/>
      <c r="EZ146" s="386"/>
      <c r="FA146" s="386"/>
      <c r="FB146" s="386"/>
      <c r="FC146" s="386"/>
      <c r="FD146" s="386"/>
      <c r="FE146" s="386"/>
      <c r="FF146" s="386"/>
      <c r="FG146" s="386"/>
      <c r="FH146" s="386"/>
      <c r="FI146" s="386"/>
      <c r="FJ146" s="386"/>
      <c r="FK146" s="386"/>
      <c r="FL146" s="386"/>
      <c r="FM146" s="386"/>
      <c r="FN146" s="386"/>
      <c r="FO146" s="386"/>
      <c r="FP146" s="386"/>
      <c r="FQ146" s="386"/>
      <c r="FR146" s="386"/>
      <c r="FS146" s="386"/>
      <c r="FT146" s="386"/>
      <c r="FU146" s="386"/>
      <c r="FV146" s="386"/>
      <c r="FW146" s="386"/>
      <c r="FX146" s="386"/>
      <c r="FY146" s="386"/>
      <c r="FZ146" s="386"/>
      <c r="GA146" s="386"/>
      <c r="GB146" s="386"/>
      <c r="GC146" s="386"/>
      <c r="GD146" s="386"/>
      <c r="GE146" s="386"/>
      <c r="GF146" s="386"/>
      <c r="GG146" s="386"/>
      <c r="GH146" s="386"/>
      <c r="GI146" s="386"/>
      <c r="GJ146" s="386"/>
      <c r="GK146" s="386"/>
      <c r="GL146" s="386"/>
    </row>
    <row r="147" spans="1:194" s="393" customFormat="1" ht="27.75" customHeight="1" hidden="1">
      <c r="A147" s="386"/>
      <c r="B147" s="465"/>
      <c r="C147" s="465"/>
      <c r="D147" s="465"/>
      <c r="E147" s="465"/>
      <c r="F147" s="465"/>
      <c r="G147" s="465"/>
      <c r="H147" s="465"/>
      <c r="I147" s="465"/>
      <c r="J147" s="465"/>
      <c r="K147" s="465"/>
      <c r="L147" s="465"/>
      <c r="M147" s="465"/>
      <c r="N147" s="386"/>
      <c r="O147" s="386"/>
      <c r="P147" s="386"/>
      <c r="Q147" s="386"/>
      <c r="R147" s="386"/>
      <c r="S147" s="386"/>
      <c r="T147" s="386"/>
      <c r="U147" s="386"/>
      <c r="V147" s="386"/>
      <c r="W147" s="386"/>
      <c r="X147" s="386"/>
      <c r="Y147" s="386"/>
      <c r="Z147" s="386"/>
      <c r="AA147" s="404">
        <v>62</v>
      </c>
      <c r="AB147" s="388">
        <v>35800</v>
      </c>
      <c r="AC147" s="433">
        <v>19125</v>
      </c>
      <c r="AD147" s="433">
        <v>19675</v>
      </c>
      <c r="AE147" s="388">
        <v>35800</v>
      </c>
      <c r="AF147" s="388">
        <v>36700</v>
      </c>
      <c r="AG147" s="388">
        <v>37600</v>
      </c>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6"/>
      <c r="DL147" s="386"/>
      <c r="DM147" s="386"/>
      <c r="DN147" s="386"/>
      <c r="DO147" s="386"/>
      <c r="DP147" s="386"/>
      <c r="DQ147" s="386"/>
      <c r="DR147" s="386"/>
      <c r="DS147" s="386"/>
      <c r="DT147" s="386"/>
      <c r="DU147" s="386"/>
      <c r="DV147" s="386"/>
      <c r="DW147" s="386"/>
      <c r="DX147" s="386"/>
      <c r="DY147" s="386"/>
      <c r="DZ147" s="386"/>
      <c r="EA147" s="386"/>
      <c r="EB147" s="386"/>
      <c r="EC147" s="386"/>
      <c r="ED147" s="386"/>
      <c r="EE147" s="386"/>
      <c r="EF147" s="386"/>
      <c r="EG147" s="386"/>
      <c r="EH147" s="386"/>
      <c r="EI147" s="386"/>
      <c r="EJ147" s="386"/>
      <c r="EK147" s="386"/>
      <c r="EL147" s="386"/>
      <c r="EM147" s="386"/>
      <c r="EN147" s="386"/>
      <c r="EO147" s="386"/>
      <c r="EP147" s="386"/>
      <c r="EQ147" s="386"/>
      <c r="ER147" s="386"/>
      <c r="ES147" s="386"/>
      <c r="ET147" s="386"/>
      <c r="EU147" s="386"/>
      <c r="EV147" s="386"/>
      <c r="EW147" s="386"/>
      <c r="EX147" s="386"/>
      <c r="EY147" s="386"/>
      <c r="EZ147" s="386"/>
      <c r="FA147" s="386"/>
      <c r="FB147" s="386"/>
      <c r="FC147" s="386"/>
      <c r="FD147" s="386"/>
      <c r="FE147" s="386"/>
      <c r="FF147" s="386"/>
      <c r="FG147" s="386"/>
      <c r="FH147" s="386"/>
      <c r="FI147" s="386"/>
      <c r="FJ147" s="386"/>
      <c r="FK147" s="386"/>
      <c r="FL147" s="386"/>
      <c r="FM147" s="386"/>
      <c r="FN147" s="386"/>
      <c r="FO147" s="386"/>
      <c r="FP147" s="386"/>
      <c r="FQ147" s="386"/>
      <c r="FR147" s="386"/>
      <c r="FS147" s="386"/>
      <c r="FT147" s="386"/>
      <c r="FU147" s="386"/>
      <c r="FV147" s="386"/>
      <c r="FW147" s="386"/>
      <c r="FX147" s="386"/>
      <c r="FY147" s="386"/>
      <c r="FZ147" s="386"/>
      <c r="GA147" s="386"/>
      <c r="GB147" s="386"/>
      <c r="GC147" s="386"/>
      <c r="GD147" s="386"/>
      <c r="GE147" s="386"/>
      <c r="GF147" s="386"/>
      <c r="GG147" s="386"/>
      <c r="GH147" s="386"/>
      <c r="GI147" s="386"/>
      <c r="GJ147" s="386"/>
      <c r="GK147" s="386"/>
      <c r="GL147" s="386"/>
    </row>
    <row r="148" spans="1:194" s="393" customFormat="1" ht="27.75" customHeight="1" hidden="1">
      <c r="A148" s="386"/>
      <c r="B148" s="465"/>
      <c r="C148" s="465"/>
      <c r="D148" s="465"/>
      <c r="E148" s="465"/>
      <c r="F148" s="465"/>
      <c r="G148" s="465"/>
      <c r="H148" s="465"/>
      <c r="I148" s="465"/>
      <c r="J148" s="465"/>
      <c r="K148" s="465"/>
      <c r="L148" s="465"/>
      <c r="M148" s="465"/>
      <c r="N148" s="386"/>
      <c r="O148" s="386"/>
      <c r="P148" s="386"/>
      <c r="Q148" s="386"/>
      <c r="R148" s="386"/>
      <c r="S148" s="386"/>
      <c r="T148" s="386"/>
      <c r="U148" s="386"/>
      <c r="V148" s="386"/>
      <c r="W148" s="386"/>
      <c r="X148" s="386"/>
      <c r="Y148" s="386"/>
      <c r="Z148" s="386"/>
      <c r="AA148" s="404">
        <v>63</v>
      </c>
      <c r="AB148" s="388">
        <v>36700</v>
      </c>
      <c r="AC148" s="433">
        <v>19675</v>
      </c>
      <c r="AD148" s="433">
        <v>20300</v>
      </c>
      <c r="AE148" s="388">
        <v>36700</v>
      </c>
      <c r="AF148" s="388">
        <v>37600</v>
      </c>
      <c r="AG148" s="388">
        <v>38570</v>
      </c>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386"/>
      <c r="CF148" s="386"/>
      <c r="CG148" s="386"/>
      <c r="CH148" s="386"/>
      <c r="CI148" s="386"/>
      <c r="CJ148" s="386"/>
      <c r="CK148" s="386"/>
      <c r="CL148" s="386"/>
      <c r="CM148" s="386"/>
      <c r="CN148" s="386"/>
      <c r="CO148" s="386"/>
      <c r="CP148" s="386"/>
      <c r="CQ148" s="386"/>
      <c r="CR148" s="386"/>
      <c r="CS148" s="386"/>
      <c r="CT148" s="386"/>
      <c r="CU148" s="386"/>
      <c r="CV148" s="386"/>
      <c r="CW148" s="386"/>
      <c r="CX148" s="386"/>
      <c r="CY148" s="386"/>
      <c r="CZ148" s="386"/>
      <c r="DA148" s="386"/>
      <c r="DB148" s="386"/>
      <c r="DC148" s="386"/>
      <c r="DD148" s="386"/>
      <c r="DE148" s="386"/>
      <c r="DF148" s="386"/>
      <c r="DG148" s="386"/>
      <c r="DH148" s="386"/>
      <c r="DI148" s="386"/>
      <c r="DJ148" s="386"/>
      <c r="DK148" s="386"/>
      <c r="DL148" s="386"/>
      <c r="DM148" s="386"/>
      <c r="DN148" s="386"/>
      <c r="DO148" s="386"/>
      <c r="DP148" s="386"/>
      <c r="DQ148" s="386"/>
      <c r="DR148" s="386"/>
      <c r="DS148" s="386"/>
      <c r="DT148" s="386"/>
      <c r="DU148" s="386"/>
      <c r="DV148" s="386"/>
      <c r="DW148" s="386"/>
      <c r="DX148" s="386"/>
      <c r="DY148" s="386"/>
      <c r="DZ148" s="386"/>
      <c r="EA148" s="386"/>
      <c r="EB148" s="386"/>
      <c r="EC148" s="386"/>
      <c r="ED148" s="386"/>
      <c r="EE148" s="386"/>
      <c r="EF148" s="386"/>
      <c r="EG148" s="386"/>
      <c r="EH148" s="386"/>
      <c r="EI148" s="386"/>
      <c r="EJ148" s="386"/>
      <c r="EK148" s="386"/>
      <c r="EL148" s="386"/>
      <c r="EM148" s="386"/>
      <c r="EN148" s="386"/>
      <c r="EO148" s="386"/>
      <c r="EP148" s="386"/>
      <c r="EQ148" s="386"/>
      <c r="ER148" s="386"/>
      <c r="ES148" s="386"/>
      <c r="ET148" s="386"/>
      <c r="EU148" s="386"/>
      <c r="EV148" s="386"/>
      <c r="EW148" s="386"/>
      <c r="EX148" s="386"/>
      <c r="EY148" s="386"/>
      <c r="EZ148" s="386"/>
      <c r="FA148" s="386"/>
      <c r="FB148" s="386"/>
      <c r="FC148" s="386"/>
      <c r="FD148" s="386"/>
      <c r="FE148" s="386"/>
      <c r="FF148" s="386"/>
      <c r="FG148" s="386"/>
      <c r="FH148" s="386"/>
      <c r="FI148" s="386"/>
      <c r="FJ148" s="386"/>
      <c r="FK148" s="386"/>
      <c r="FL148" s="386"/>
      <c r="FM148" s="386"/>
      <c r="FN148" s="386"/>
      <c r="FO148" s="386"/>
      <c r="FP148" s="386"/>
      <c r="FQ148" s="386"/>
      <c r="FR148" s="386"/>
      <c r="FS148" s="386"/>
      <c r="FT148" s="386"/>
      <c r="FU148" s="386"/>
      <c r="FV148" s="386"/>
      <c r="FW148" s="386"/>
      <c r="FX148" s="386"/>
      <c r="FY148" s="386"/>
      <c r="FZ148" s="386"/>
      <c r="GA148" s="386"/>
      <c r="GB148" s="386"/>
      <c r="GC148" s="386"/>
      <c r="GD148" s="386"/>
      <c r="GE148" s="386"/>
      <c r="GF148" s="386"/>
      <c r="GG148" s="386"/>
      <c r="GH148" s="386"/>
      <c r="GI148" s="386"/>
      <c r="GJ148" s="386"/>
      <c r="GK148" s="386"/>
      <c r="GL148" s="386"/>
    </row>
    <row r="149" spans="1:194" s="393" customFormat="1" ht="27.75" customHeight="1" hidden="1">
      <c r="A149" s="386"/>
      <c r="B149" s="465"/>
      <c r="C149" s="465"/>
      <c r="D149" s="465"/>
      <c r="E149" s="465"/>
      <c r="F149" s="465"/>
      <c r="G149" s="465"/>
      <c r="H149" s="465"/>
      <c r="I149" s="465"/>
      <c r="J149" s="465"/>
      <c r="K149" s="465"/>
      <c r="L149" s="465"/>
      <c r="M149" s="465"/>
      <c r="N149" s="386"/>
      <c r="O149" s="386"/>
      <c r="P149" s="386"/>
      <c r="Q149" s="386"/>
      <c r="R149" s="386"/>
      <c r="S149" s="386"/>
      <c r="T149" s="386"/>
      <c r="U149" s="386"/>
      <c r="V149" s="386"/>
      <c r="W149" s="386"/>
      <c r="X149" s="386"/>
      <c r="Y149" s="386"/>
      <c r="Z149" s="386"/>
      <c r="AA149" s="404">
        <v>64</v>
      </c>
      <c r="AB149" s="388">
        <v>37600</v>
      </c>
      <c r="AC149" s="433">
        <v>20300</v>
      </c>
      <c r="AD149" s="433">
        <v>20925</v>
      </c>
      <c r="AE149" s="388">
        <v>37600</v>
      </c>
      <c r="AF149" s="388">
        <v>38570</v>
      </c>
      <c r="AG149" s="388">
        <v>39540</v>
      </c>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c r="CI149" s="386"/>
      <c r="CJ149" s="386"/>
      <c r="CK149" s="386"/>
      <c r="CL149" s="386"/>
      <c r="CM149" s="386"/>
      <c r="CN149" s="386"/>
      <c r="CO149" s="386"/>
      <c r="CP149" s="386"/>
      <c r="CQ149" s="386"/>
      <c r="CR149" s="386"/>
      <c r="CS149" s="386"/>
      <c r="CT149" s="386"/>
      <c r="CU149" s="386"/>
      <c r="CV149" s="386"/>
      <c r="CW149" s="386"/>
      <c r="CX149" s="386"/>
      <c r="CY149" s="386"/>
      <c r="CZ149" s="386"/>
      <c r="DA149" s="386"/>
      <c r="DB149" s="386"/>
      <c r="DC149" s="386"/>
      <c r="DD149" s="386"/>
      <c r="DE149" s="386"/>
      <c r="DF149" s="386"/>
      <c r="DG149" s="386"/>
      <c r="DH149" s="386"/>
      <c r="DI149" s="386"/>
      <c r="DJ149" s="386"/>
      <c r="DK149" s="386"/>
      <c r="DL149" s="386"/>
      <c r="DM149" s="386"/>
      <c r="DN149" s="386"/>
      <c r="DO149" s="386"/>
      <c r="DP149" s="386"/>
      <c r="DQ149" s="386"/>
      <c r="DR149" s="386"/>
      <c r="DS149" s="386"/>
      <c r="DT149" s="386"/>
      <c r="DU149" s="386"/>
      <c r="DV149" s="386"/>
      <c r="DW149" s="386"/>
      <c r="DX149" s="386"/>
      <c r="DY149" s="386"/>
      <c r="DZ149" s="386"/>
      <c r="EA149" s="386"/>
      <c r="EB149" s="386"/>
      <c r="EC149" s="386"/>
      <c r="ED149" s="386"/>
      <c r="EE149" s="386"/>
      <c r="EF149" s="386"/>
      <c r="EG149" s="386"/>
      <c r="EH149" s="386"/>
      <c r="EI149" s="386"/>
      <c r="EJ149" s="386"/>
      <c r="EK149" s="386"/>
      <c r="EL149" s="386"/>
      <c r="EM149" s="386"/>
      <c r="EN149" s="386"/>
      <c r="EO149" s="386"/>
      <c r="EP149" s="386"/>
      <c r="EQ149" s="386"/>
      <c r="ER149" s="386"/>
      <c r="ES149" s="386"/>
      <c r="ET149" s="386"/>
      <c r="EU149" s="386"/>
      <c r="EV149" s="386"/>
      <c r="EW149" s="386"/>
      <c r="EX149" s="386"/>
      <c r="EY149" s="386"/>
      <c r="EZ149" s="386"/>
      <c r="FA149" s="386"/>
      <c r="FB149" s="386"/>
      <c r="FC149" s="386"/>
      <c r="FD149" s="386"/>
      <c r="FE149" s="386"/>
      <c r="FF149" s="386"/>
      <c r="FG149" s="386"/>
      <c r="FH149" s="386"/>
      <c r="FI149" s="386"/>
      <c r="FJ149" s="386"/>
      <c r="FK149" s="386"/>
      <c r="FL149" s="386"/>
      <c r="FM149" s="386"/>
      <c r="FN149" s="386"/>
      <c r="FO149" s="386"/>
      <c r="FP149" s="386"/>
      <c r="FQ149" s="386"/>
      <c r="FR149" s="386"/>
      <c r="FS149" s="386"/>
      <c r="FT149" s="386"/>
      <c r="FU149" s="386"/>
      <c r="FV149" s="386"/>
      <c r="FW149" s="386"/>
      <c r="FX149" s="386"/>
      <c r="FY149" s="386"/>
      <c r="FZ149" s="386"/>
      <c r="GA149" s="386"/>
      <c r="GB149" s="386"/>
      <c r="GC149" s="386"/>
      <c r="GD149" s="386"/>
      <c r="GE149" s="386"/>
      <c r="GF149" s="386"/>
      <c r="GG149" s="386"/>
      <c r="GH149" s="386"/>
      <c r="GI149" s="386"/>
      <c r="GJ149" s="386"/>
      <c r="GK149" s="386"/>
      <c r="GL149" s="386"/>
    </row>
    <row r="150" spans="1:194" s="393" customFormat="1" ht="27.75" customHeight="1" hidden="1">
      <c r="A150" s="386"/>
      <c r="B150" s="465"/>
      <c r="C150" s="465"/>
      <c r="D150" s="465"/>
      <c r="E150" s="465"/>
      <c r="F150" s="465"/>
      <c r="G150" s="465"/>
      <c r="H150" s="465"/>
      <c r="I150" s="465"/>
      <c r="J150" s="465"/>
      <c r="K150" s="465"/>
      <c r="L150" s="465"/>
      <c r="M150" s="465"/>
      <c r="N150" s="386"/>
      <c r="O150" s="386"/>
      <c r="P150" s="386"/>
      <c r="Q150" s="386"/>
      <c r="R150" s="386"/>
      <c r="S150" s="386"/>
      <c r="T150" s="386"/>
      <c r="U150" s="386"/>
      <c r="V150" s="386"/>
      <c r="W150" s="386"/>
      <c r="X150" s="386"/>
      <c r="Y150" s="386"/>
      <c r="Z150" s="386"/>
      <c r="AA150" s="404">
        <v>65</v>
      </c>
      <c r="AB150" s="388">
        <v>38570</v>
      </c>
      <c r="AC150" s="433">
        <v>20925</v>
      </c>
      <c r="AD150" s="433">
        <v>21550</v>
      </c>
      <c r="AE150" s="388">
        <v>38570</v>
      </c>
      <c r="AF150" s="388">
        <v>39540</v>
      </c>
      <c r="AG150" s="388">
        <v>40510</v>
      </c>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c r="CI150" s="386"/>
      <c r="CJ150" s="386"/>
      <c r="CK150" s="386"/>
      <c r="CL150" s="386"/>
      <c r="CM150" s="386"/>
      <c r="CN150" s="386"/>
      <c r="CO150" s="386"/>
      <c r="CP150" s="386"/>
      <c r="CQ150" s="386"/>
      <c r="CR150" s="386"/>
      <c r="CS150" s="386"/>
      <c r="CT150" s="386"/>
      <c r="CU150" s="386"/>
      <c r="CV150" s="386"/>
      <c r="CW150" s="386"/>
      <c r="CX150" s="386"/>
      <c r="CY150" s="386"/>
      <c r="CZ150" s="386"/>
      <c r="DA150" s="386"/>
      <c r="DB150" s="386"/>
      <c r="DC150" s="386"/>
      <c r="DD150" s="386"/>
      <c r="DE150" s="386"/>
      <c r="DF150" s="386"/>
      <c r="DG150" s="386"/>
      <c r="DH150" s="386"/>
      <c r="DI150" s="386"/>
      <c r="DJ150" s="386"/>
      <c r="DK150" s="386"/>
      <c r="DL150" s="386"/>
      <c r="DM150" s="386"/>
      <c r="DN150" s="386"/>
      <c r="DO150" s="386"/>
      <c r="DP150" s="386"/>
      <c r="DQ150" s="386"/>
      <c r="DR150" s="386"/>
      <c r="DS150" s="386"/>
      <c r="DT150" s="386"/>
      <c r="DU150" s="386"/>
      <c r="DV150" s="386"/>
      <c r="DW150" s="386"/>
      <c r="DX150" s="386"/>
      <c r="DY150" s="386"/>
      <c r="DZ150" s="386"/>
      <c r="EA150" s="386"/>
      <c r="EB150" s="386"/>
      <c r="EC150" s="386"/>
      <c r="ED150" s="386"/>
      <c r="EE150" s="386"/>
      <c r="EF150" s="386"/>
      <c r="EG150" s="386"/>
      <c r="EH150" s="386"/>
      <c r="EI150" s="386"/>
      <c r="EJ150" s="386"/>
      <c r="EK150" s="386"/>
      <c r="EL150" s="386"/>
      <c r="EM150" s="386"/>
      <c r="EN150" s="386"/>
      <c r="EO150" s="386"/>
      <c r="EP150" s="386"/>
      <c r="EQ150" s="386"/>
      <c r="ER150" s="386"/>
      <c r="ES150" s="386"/>
      <c r="ET150" s="386"/>
      <c r="EU150" s="386"/>
      <c r="EV150" s="386"/>
      <c r="EW150" s="386"/>
      <c r="EX150" s="386"/>
      <c r="EY150" s="386"/>
      <c r="EZ150" s="386"/>
      <c r="FA150" s="386"/>
      <c r="FB150" s="386"/>
      <c r="FC150" s="386"/>
      <c r="FD150" s="386"/>
      <c r="FE150" s="386"/>
      <c r="FF150" s="386"/>
      <c r="FG150" s="386"/>
      <c r="FH150" s="386"/>
      <c r="FI150" s="386"/>
      <c r="FJ150" s="386"/>
      <c r="FK150" s="386"/>
      <c r="FL150" s="386"/>
      <c r="FM150" s="386"/>
      <c r="FN150" s="386"/>
      <c r="FO150" s="386"/>
      <c r="FP150" s="386"/>
      <c r="FQ150" s="386"/>
      <c r="FR150" s="386"/>
      <c r="FS150" s="386"/>
      <c r="FT150" s="386"/>
      <c r="FU150" s="386"/>
      <c r="FV150" s="386"/>
      <c r="FW150" s="386"/>
      <c r="FX150" s="386"/>
      <c r="FY150" s="386"/>
      <c r="FZ150" s="386"/>
      <c r="GA150" s="386"/>
      <c r="GB150" s="386"/>
      <c r="GC150" s="386"/>
      <c r="GD150" s="386"/>
      <c r="GE150" s="386"/>
      <c r="GF150" s="386"/>
      <c r="GG150" s="386"/>
      <c r="GH150" s="386"/>
      <c r="GI150" s="386"/>
      <c r="GJ150" s="386"/>
      <c r="GK150" s="386"/>
      <c r="GL150" s="386"/>
    </row>
    <row r="151" spans="1:194" s="393" customFormat="1" ht="27.75" customHeight="1" hidden="1">
      <c r="A151" s="386"/>
      <c r="B151" s="465"/>
      <c r="C151" s="465"/>
      <c r="D151" s="465"/>
      <c r="E151" s="465"/>
      <c r="F151" s="465"/>
      <c r="G151" s="465"/>
      <c r="H151" s="465"/>
      <c r="I151" s="465"/>
      <c r="J151" s="465"/>
      <c r="K151" s="465"/>
      <c r="L151" s="465"/>
      <c r="M151" s="465"/>
      <c r="N151" s="386"/>
      <c r="O151" s="386"/>
      <c r="P151" s="386"/>
      <c r="Q151" s="386"/>
      <c r="R151" s="386"/>
      <c r="S151" s="386"/>
      <c r="T151" s="386"/>
      <c r="U151" s="386"/>
      <c r="V151" s="386"/>
      <c r="W151" s="386"/>
      <c r="X151" s="386"/>
      <c r="Y151" s="386"/>
      <c r="Z151" s="386"/>
      <c r="AA151" s="404">
        <v>66</v>
      </c>
      <c r="AB151" s="388">
        <v>39540</v>
      </c>
      <c r="AC151" s="433">
        <v>21550</v>
      </c>
      <c r="AD151" s="433">
        <v>22175</v>
      </c>
      <c r="AE151" s="388">
        <v>39540</v>
      </c>
      <c r="AF151" s="388">
        <v>40510</v>
      </c>
      <c r="AG151" s="388">
        <v>41550</v>
      </c>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386"/>
      <c r="CC151" s="386"/>
      <c r="CD151" s="386"/>
      <c r="CE151" s="386"/>
      <c r="CF151" s="386"/>
      <c r="CG151" s="386"/>
      <c r="CH151" s="386"/>
      <c r="CI151" s="386"/>
      <c r="CJ151" s="386"/>
      <c r="CK151" s="386"/>
      <c r="CL151" s="386"/>
      <c r="CM151" s="386"/>
      <c r="CN151" s="386"/>
      <c r="CO151" s="386"/>
      <c r="CP151" s="386"/>
      <c r="CQ151" s="386"/>
      <c r="CR151" s="386"/>
      <c r="CS151" s="386"/>
      <c r="CT151" s="386"/>
      <c r="CU151" s="386"/>
      <c r="CV151" s="386"/>
      <c r="CW151" s="386"/>
      <c r="CX151" s="386"/>
      <c r="CY151" s="386"/>
      <c r="CZ151" s="386"/>
      <c r="DA151" s="386"/>
      <c r="DB151" s="386"/>
      <c r="DC151" s="386"/>
      <c r="DD151" s="386"/>
      <c r="DE151" s="386"/>
      <c r="DF151" s="386"/>
      <c r="DG151" s="386"/>
      <c r="DH151" s="386"/>
      <c r="DI151" s="386"/>
      <c r="DJ151" s="386"/>
      <c r="DK151" s="386"/>
      <c r="DL151" s="386"/>
      <c r="DM151" s="386"/>
      <c r="DN151" s="386"/>
      <c r="DO151" s="386"/>
      <c r="DP151" s="386"/>
      <c r="DQ151" s="386"/>
      <c r="DR151" s="386"/>
      <c r="DS151" s="386"/>
      <c r="DT151" s="386"/>
      <c r="DU151" s="386"/>
      <c r="DV151" s="386"/>
      <c r="DW151" s="386"/>
      <c r="DX151" s="386"/>
      <c r="DY151" s="386"/>
      <c r="DZ151" s="386"/>
      <c r="EA151" s="386"/>
      <c r="EB151" s="386"/>
      <c r="EC151" s="386"/>
      <c r="ED151" s="386"/>
      <c r="EE151" s="386"/>
      <c r="EF151" s="386"/>
      <c r="EG151" s="386"/>
      <c r="EH151" s="386"/>
      <c r="EI151" s="386"/>
      <c r="EJ151" s="386"/>
      <c r="EK151" s="386"/>
      <c r="EL151" s="386"/>
      <c r="EM151" s="386"/>
      <c r="EN151" s="386"/>
      <c r="EO151" s="386"/>
      <c r="EP151" s="386"/>
      <c r="EQ151" s="386"/>
      <c r="ER151" s="386"/>
      <c r="ES151" s="386"/>
      <c r="ET151" s="386"/>
      <c r="EU151" s="386"/>
      <c r="EV151" s="386"/>
      <c r="EW151" s="386"/>
      <c r="EX151" s="386"/>
      <c r="EY151" s="386"/>
      <c r="EZ151" s="386"/>
      <c r="FA151" s="386"/>
      <c r="FB151" s="386"/>
      <c r="FC151" s="386"/>
      <c r="FD151" s="386"/>
      <c r="FE151" s="386"/>
      <c r="FF151" s="386"/>
      <c r="FG151" s="386"/>
      <c r="FH151" s="386"/>
      <c r="FI151" s="386"/>
      <c r="FJ151" s="386"/>
      <c r="FK151" s="386"/>
      <c r="FL151" s="386"/>
      <c r="FM151" s="386"/>
      <c r="FN151" s="386"/>
      <c r="FO151" s="386"/>
      <c r="FP151" s="386"/>
      <c r="FQ151" s="386"/>
      <c r="FR151" s="386"/>
      <c r="FS151" s="386"/>
      <c r="FT151" s="386"/>
      <c r="FU151" s="386"/>
      <c r="FV151" s="386"/>
      <c r="FW151" s="386"/>
      <c r="FX151" s="386"/>
      <c r="FY151" s="386"/>
      <c r="FZ151" s="386"/>
      <c r="GA151" s="386"/>
      <c r="GB151" s="386"/>
      <c r="GC151" s="386"/>
      <c r="GD151" s="386"/>
      <c r="GE151" s="386"/>
      <c r="GF151" s="386"/>
      <c r="GG151" s="386"/>
      <c r="GH151" s="386"/>
      <c r="GI151" s="386"/>
      <c r="GJ151" s="386"/>
      <c r="GK151" s="386"/>
      <c r="GL151" s="386"/>
    </row>
    <row r="152" spans="1:194" s="393" customFormat="1" ht="27.75" customHeight="1" hidden="1">
      <c r="A152" s="386"/>
      <c r="B152" s="465"/>
      <c r="C152" s="465"/>
      <c r="D152" s="465"/>
      <c r="E152" s="465"/>
      <c r="F152" s="465"/>
      <c r="G152" s="465"/>
      <c r="H152" s="465"/>
      <c r="I152" s="465"/>
      <c r="J152" s="465"/>
      <c r="K152" s="465"/>
      <c r="L152" s="465"/>
      <c r="M152" s="465"/>
      <c r="N152" s="386"/>
      <c r="O152" s="386"/>
      <c r="P152" s="386"/>
      <c r="Q152" s="386"/>
      <c r="R152" s="386"/>
      <c r="S152" s="386"/>
      <c r="T152" s="386"/>
      <c r="U152" s="386"/>
      <c r="V152" s="386"/>
      <c r="W152" s="386"/>
      <c r="X152" s="386"/>
      <c r="Y152" s="386"/>
      <c r="Z152" s="386"/>
      <c r="AA152" s="404">
        <v>67</v>
      </c>
      <c r="AB152" s="388">
        <v>40510</v>
      </c>
      <c r="AC152" s="433">
        <v>22175</v>
      </c>
      <c r="AD152" s="433">
        <v>22800</v>
      </c>
      <c r="AE152" s="388">
        <v>40510</v>
      </c>
      <c r="AF152" s="388">
        <v>41550</v>
      </c>
      <c r="AG152" s="388">
        <v>42590</v>
      </c>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c r="CI152" s="386"/>
      <c r="CJ152" s="386"/>
      <c r="CK152" s="386"/>
      <c r="CL152" s="386"/>
      <c r="CM152" s="386"/>
      <c r="CN152" s="386"/>
      <c r="CO152" s="386"/>
      <c r="CP152" s="386"/>
      <c r="CQ152" s="386"/>
      <c r="CR152" s="386"/>
      <c r="CS152" s="386"/>
      <c r="CT152" s="386"/>
      <c r="CU152" s="386"/>
      <c r="CV152" s="386"/>
      <c r="CW152" s="386"/>
      <c r="CX152" s="386"/>
      <c r="CY152" s="386"/>
      <c r="CZ152" s="386"/>
      <c r="DA152" s="386"/>
      <c r="DB152" s="386"/>
      <c r="DC152" s="386"/>
      <c r="DD152" s="386"/>
      <c r="DE152" s="386"/>
      <c r="DF152" s="386"/>
      <c r="DG152" s="386"/>
      <c r="DH152" s="386"/>
      <c r="DI152" s="386"/>
      <c r="DJ152" s="386"/>
      <c r="DK152" s="386"/>
      <c r="DL152" s="386"/>
      <c r="DM152" s="386"/>
      <c r="DN152" s="386"/>
      <c r="DO152" s="386"/>
      <c r="DP152" s="386"/>
      <c r="DQ152" s="386"/>
      <c r="DR152" s="386"/>
      <c r="DS152" s="386"/>
      <c r="DT152" s="386"/>
      <c r="DU152" s="386"/>
      <c r="DV152" s="386"/>
      <c r="DW152" s="386"/>
      <c r="DX152" s="386"/>
      <c r="DY152" s="386"/>
      <c r="DZ152" s="386"/>
      <c r="EA152" s="386"/>
      <c r="EB152" s="386"/>
      <c r="EC152" s="386"/>
      <c r="ED152" s="386"/>
      <c r="EE152" s="386"/>
      <c r="EF152" s="386"/>
      <c r="EG152" s="386"/>
      <c r="EH152" s="386"/>
      <c r="EI152" s="386"/>
      <c r="EJ152" s="386"/>
      <c r="EK152" s="386"/>
      <c r="EL152" s="386"/>
      <c r="EM152" s="386"/>
      <c r="EN152" s="386"/>
      <c r="EO152" s="386"/>
      <c r="EP152" s="386"/>
      <c r="EQ152" s="386"/>
      <c r="ER152" s="386"/>
      <c r="ES152" s="386"/>
      <c r="ET152" s="386"/>
      <c r="EU152" s="386"/>
      <c r="EV152" s="386"/>
      <c r="EW152" s="386"/>
      <c r="EX152" s="386"/>
      <c r="EY152" s="386"/>
      <c r="EZ152" s="386"/>
      <c r="FA152" s="386"/>
      <c r="FB152" s="386"/>
      <c r="FC152" s="386"/>
      <c r="FD152" s="386"/>
      <c r="FE152" s="386"/>
      <c r="FF152" s="386"/>
      <c r="FG152" s="386"/>
      <c r="FH152" s="386"/>
      <c r="FI152" s="386"/>
      <c r="FJ152" s="386"/>
      <c r="FK152" s="386"/>
      <c r="FL152" s="386"/>
      <c r="FM152" s="386"/>
      <c r="FN152" s="386"/>
      <c r="FO152" s="386"/>
      <c r="FP152" s="386"/>
      <c r="FQ152" s="386"/>
      <c r="FR152" s="386"/>
      <c r="FS152" s="386"/>
      <c r="FT152" s="386"/>
      <c r="FU152" s="386"/>
      <c r="FV152" s="386"/>
      <c r="FW152" s="386"/>
      <c r="FX152" s="386"/>
      <c r="FY152" s="386"/>
      <c r="FZ152" s="386"/>
      <c r="GA152" s="386"/>
      <c r="GB152" s="386"/>
      <c r="GC152" s="386"/>
      <c r="GD152" s="386"/>
      <c r="GE152" s="386"/>
      <c r="GF152" s="386"/>
      <c r="GG152" s="386"/>
      <c r="GH152" s="386"/>
      <c r="GI152" s="386"/>
      <c r="GJ152" s="386"/>
      <c r="GK152" s="386"/>
      <c r="GL152" s="386"/>
    </row>
    <row r="153" spans="1:194" s="393" customFormat="1" ht="27.75" customHeight="1" hidden="1">
      <c r="A153" s="386"/>
      <c r="B153" s="465"/>
      <c r="C153" s="465"/>
      <c r="D153" s="465"/>
      <c r="E153" s="465"/>
      <c r="F153" s="465"/>
      <c r="G153" s="465"/>
      <c r="H153" s="465"/>
      <c r="I153" s="465"/>
      <c r="J153" s="465"/>
      <c r="K153" s="465"/>
      <c r="L153" s="465"/>
      <c r="M153" s="465"/>
      <c r="N153" s="386"/>
      <c r="O153" s="386"/>
      <c r="P153" s="386"/>
      <c r="Q153" s="386"/>
      <c r="R153" s="386"/>
      <c r="S153" s="386"/>
      <c r="T153" s="386"/>
      <c r="U153" s="386"/>
      <c r="V153" s="386"/>
      <c r="W153" s="386"/>
      <c r="X153" s="386"/>
      <c r="Y153" s="386"/>
      <c r="Z153" s="386"/>
      <c r="AA153" s="404">
        <v>68</v>
      </c>
      <c r="AB153" s="388">
        <v>41550</v>
      </c>
      <c r="AC153" s="433">
        <v>22800</v>
      </c>
      <c r="AD153" s="433">
        <v>23500</v>
      </c>
      <c r="AE153" s="388">
        <v>41550</v>
      </c>
      <c r="AF153" s="388">
        <v>42590</v>
      </c>
      <c r="AG153" s="388">
        <v>43630</v>
      </c>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386"/>
      <c r="CD153" s="386"/>
      <c r="CE153" s="386"/>
      <c r="CF153" s="386"/>
      <c r="CG153" s="386"/>
      <c r="CH153" s="386"/>
      <c r="CI153" s="386"/>
      <c r="CJ153" s="386"/>
      <c r="CK153" s="386"/>
      <c r="CL153" s="386"/>
      <c r="CM153" s="386"/>
      <c r="CN153" s="386"/>
      <c r="CO153" s="386"/>
      <c r="CP153" s="386"/>
      <c r="CQ153" s="386"/>
      <c r="CR153" s="386"/>
      <c r="CS153" s="386"/>
      <c r="CT153" s="386"/>
      <c r="CU153" s="386"/>
      <c r="CV153" s="386"/>
      <c r="CW153" s="386"/>
      <c r="CX153" s="386"/>
      <c r="CY153" s="386"/>
      <c r="CZ153" s="386"/>
      <c r="DA153" s="386"/>
      <c r="DB153" s="386"/>
      <c r="DC153" s="386"/>
      <c r="DD153" s="386"/>
      <c r="DE153" s="386"/>
      <c r="DF153" s="386"/>
      <c r="DG153" s="386"/>
      <c r="DH153" s="386"/>
      <c r="DI153" s="386"/>
      <c r="DJ153" s="386"/>
      <c r="DK153" s="386"/>
      <c r="DL153" s="386"/>
      <c r="DM153" s="386"/>
      <c r="DN153" s="386"/>
      <c r="DO153" s="386"/>
      <c r="DP153" s="386"/>
      <c r="DQ153" s="386"/>
      <c r="DR153" s="386"/>
      <c r="DS153" s="386"/>
      <c r="DT153" s="386"/>
      <c r="DU153" s="386"/>
      <c r="DV153" s="386"/>
      <c r="DW153" s="386"/>
      <c r="DX153" s="386"/>
      <c r="DY153" s="386"/>
      <c r="DZ153" s="386"/>
      <c r="EA153" s="386"/>
      <c r="EB153" s="386"/>
      <c r="EC153" s="386"/>
      <c r="ED153" s="386"/>
      <c r="EE153" s="386"/>
      <c r="EF153" s="386"/>
      <c r="EG153" s="386"/>
      <c r="EH153" s="386"/>
      <c r="EI153" s="386"/>
      <c r="EJ153" s="386"/>
      <c r="EK153" s="386"/>
      <c r="EL153" s="386"/>
      <c r="EM153" s="386"/>
      <c r="EN153" s="386"/>
      <c r="EO153" s="386"/>
      <c r="EP153" s="386"/>
      <c r="EQ153" s="386"/>
      <c r="ER153" s="386"/>
      <c r="ES153" s="386"/>
      <c r="ET153" s="386"/>
      <c r="EU153" s="386"/>
      <c r="EV153" s="386"/>
      <c r="EW153" s="386"/>
      <c r="EX153" s="386"/>
      <c r="EY153" s="386"/>
      <c r="EZ153" s="386"/>
      <c r="FA153" s="386"/>
      <c r="FB153" s="386"/>
      <c r="FC153" s="386"/>
      <c r="FD153" s="386"/>
      <c r="FE153" s="386"/>
      <c r="FF153" s="386"/>
      <c r="FG153" s="386"/>
      <c r="FH153" s="386"/>
      <c r="FI153" s="386"/>
      <c r="FJ153" s="386"/>
      <c r="FK153" s="386"/>
      <c r="FL153" s="386"/>
      <c r="FM153" s="386"/>
      <c r="FN153" s="386"/>
      <c r="FO153" s="386"/>
      <c r="FP153" s="386"/>
      <c r="FQ153" s="386"/>
      <c r="FR153" s="386"/>
      <c r="FS153" s="386"/>
      <c r="FT153" s="386"/>
      <c r="FU153" s="386"/>
      <c r="FV153" s="386"/>
      <c r="FW153" s="386"/>
      <c r="FX153" s="386"/>
      <c r="FY153" s="386"/>
      <c r="FZ153" s="386"/>
      <c r="GA153" s="386"/>
      <c r="GB153" s="386"/>
      <c r="GC153" s="386"/>
      <c r="GD153" s="386"/>
      <c r="GE153" s="386"/>
      <c r="GF153" s="386"/>
      <c r="GG153" s="386"/>
      <c r="GH153" s="386"/>
      <c r="GI153" s="386"/>
      <c r="GJ153" s="386"/>
      <c r="GK153" s="386"/>
      <c r="GL153" s="386"/>
    </row>
    <row r="154" spans="1:194" s="393" customFormat="1" ht="27.75" customHeight="1" hidden="1">
      <c r="A154" s="386"/>
      <c r="B154" s="465"/>
      <c r="C154" s="465"/>
      <c r="D154" s="465"/>
      <c r="E154" s="465"/>
      <c r="F154" s="465"/>
      <c r="G154" s="465"/>
      <c r="H154" s="465"/>
      <c r="I154" s="465"/>
      <c r="J154" s="465"/>
      <c r="K154" s="465"/>
      <c r="L154" s="465"/>
      <c r="M154" s="465"/>
      <c r="N154" s="386"/>
      <c r="O154" s="386"/>
      <c r="P154" s="386"/>
      <c r="Q154" s="386"/>
      <c r="R154" s="386"/>
      <c r="S154" s="386"/>
      <c r="T154" s="386"/>
      <c r="U154" s="386"/>
      <c r="V154" s="386"/>
      <c r="W154" s="386"/>
      <c r="X154" s="386"/>
      <c r="Y154" s="386"/>
      <c r="Z154" s="386"/>
      <c r="AA154" s="404">
        <v>69</v>
      </c>
      <c r="AB154" s="388">
        <v>42590</v>
      </c>
      <c r="AC154" s="433">
        <v>23500</v>
      </c>
      <c r="AD154" s="433">
        <v>24200</v>
      </c>
      <c r="AE154" s="388">
        <v>42590</v>
      </c>
      <c r="AF154" s="388">
        <v>43630</v>
      </c>
      <c r="AG154" s="388">
        <v>44740</v>
      </c>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86"/>
      <c r="BY154" s="386"/>
      <c r="BZ154" s="386"/>
      <c r="CA154" s="386"/>
      <c r="CB154" s="386"/>
      <c r="CC154" s="386"/>
      <c r="CD154" s="386"/>
      <c r="CE154" s="386"/>
      <c r="CF154" s="386"/>
      <c r="CG154" s="386"/>
      <c r="CH154" s="386"/>
      <c r="CI154" s="386"/>
      <c r="CJ154" s="386"/>
      <c r="CK154" s="386"/>
      <c r="CL154" s="386"/>
      <c r="CM154" s="386"/>
      <c r="CN154" s="386"/>
      <c r="CO154" s="386"/>
      <c r="CP154" s="386"/>
      <c r="CQ154" s="386"/>
      <c r="CR154" s="386"/>
      <c r="CS154" s="386"/>
      <c r="CT154" s="386"/>
      <c r="CU154" s="386"/>
      <c r="CV154" s="386"/>
      <c r="CW154" s="386"/>
      <c r="CX154" s="386"/>
      <c r="CY154" s="386"/>
      <c r="CZ154" s="386"/>
      <c r="DA154" s="386"/>
      <c r="DB154" s="386"/>
      <c r="DC154" s="386"/>
      <c r="DD154" s="386"/>
      <c r="DE154" s="386"/>
      <c r="DF154" s="386"/>
      <c r="DG154" s="386"/>
      <c r="DH154" s="386"/>
      <c r="DI154" s="386"/>
      <c r="DJ154" s="386"/>
      <c r="DK154" s="386"/>
      <c r="DL154" s="386"/>
      <c r="DM154" s="386"/>
      <c r="DN154" s="386"/>
      <c r="DO154" s="386"/>
      <c r="DP154" s="386"/>
      <c r="DQ154" s="386"/>
      <c r="DR154" s="386"/>
      <c r="DS154" s="386"/>
      <c r="DT154" s="386"/>
      <c r="DU154" s="386"/>
      <c r="DV154" s="386"/>
      <c r="DW154" s="386"/>
      <c r="DX154" s="386"/>
      <c r="DY154" s="386"/>
      <c r="DZ154" s="386"/>
      <c r="EA154" s="386"/>
      <c r="EB154" s="386"/>
      <c r="EC154" s="386"/>
      <c r="ED154" s="386"/>
      <c r="EE154" s="386"/>
      <c r="EF154" s="386"/>
      <c r="EG154" s="386"/>
      <c r="EH154" s="386"/>
      <c r="EI154" s="386"/>
      <c r="EJ154" s="386"/>
      <c r="EK154" s="386"/>
      <c r="EL154" s="386"/>
      <c r="EM154" s="386"/>
      <c r="EN154" s="386"/>
      <c r="EO154" s="386"/>
      <c r="EP154" s="386"/>
      <c r="EQ154" s="386"/>
      <c r="ER154" s="386"/>
      <c r="ES154" s="386"/>
      <c r="ET154" s="386"/>
      <c r="EU154" s="386"/>
      <c r="EV154" s="386"/>
      <c r="EW154" s="386"/>
      <c r="EX154" s="386"/>
      <c r="EY154" s="386"/>
      <c r="EZ154" s="386"/>
      <c r="FA154" s="386"/>
      <c r="FB154" s="386"/>
      <c r="FC154" s="386"/>
      <c r="FD154" s="386"/>
      <c r="FE154" s="386"/>
      <c r="FF154" s="386"/>
      <c r="FG154" s="386"/>
      <c r="FH154" s="386"/>
      <c r="FI154" s="386"/>
      <c r="FJ154" s="386"/>
      <c r="FK154" s="386"/>
      <c r="FL154" s="386"/>
      <c r="FM154" s="386"/>
      <c r="FN154" s="386"/>
      <c r="FO154" s="386"/>
      <c r="FP154" s="386"/>
      <c r="FQ154" s="386"/>
      <c r="FR154" s="386"/>
      <c r="FS154" s="386"/>
      <c r="FT154" s="386"/>
      <c r="FU154" s="386"/>
      <c r="FV154" s="386"/>
      <c r="FW154" s="386"/>
      <c r="FX154" s="386"/>
      <c r="FY154" s="386"/>
      <c r="FZ154" s="386"/>
      <c r="GA154" s="386"/>
      <c r="GB154" s="386"/>
      <c r="GC154" s="386"/>
      <c r="GD154" s="386"/>
      <c r="GE154" s="386"/>
      <c r="GF154" s="386"/>
      <c r="GG154" s="386"/>
      <c r="GH154" s="386"/>
      <c r="GI154" s="386"/>
      <c r="GJ154" s="386"/>
      <c r="GK154" s="386"/>
      <c r="GL154" s="386"/>
    </row>
    <row r="155" spans="1:194" s="393" customFormat="1" ht="27.75" customHeight="1" hidden="1">
      <c r="A155" s="386"/>
      <c r="B155" s="465"/>
      <c r="C155" s="465"/>
      <c r="D155" s="465"/>
      <c r="E155" s="465"/>
      <c r="F155" s="465"/>
      <c r="G155" s="465"/>
      <c r="H155" s="465"/>
      <c r="I155" s="465"/>
      <c r="J155" s="465"/>
      <c r="K155" s="465"/>
      <c r="L155" s="465"/>
      <c r="M155" s="465"/>
      <c r="N155" s="386"/>
      <c r="O155" s="386"/>
      <c r="P155" s="386"/>
      <c r="Q155" s="386"/>
      <c r="R155" s="386"/>
      <c r="S155" s="386"/>
      <c r="T155" s="386"/>
      <c r="U155" s="386"/>
      <c r="V155" s="386"/>
      <c r="W155" s="386"/>
      <c r="X155" s="386"/>
      <c r="Y155" s="386"/>
      <c r="Z155" s="386"/>
      <c r="AA155" s="404">
        <v>70</v>
      </c>
      <c r="AB155" s="388">
        <v>43630</v>
      </c>
      <c r="AC155" s="433">
        <v>24200</v>
      </c>
      <c r="AD155" s="433">
        <v>24900</v>
      </c>
      <c r="AE155" s="388">
        <v>43630</v>
      </c>
      <c r="AF155" s="388">
        <v>44740</v>
      </c>
      <c r="AG155" s="388">
        <v>45850</v>
      </c>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6"/>
      <c r="BX155" s="386"/>
      <c r="BY155" s="386"/>
      <c r="BZ155" s="386"/>
      <c r="CA155" s="386"/>
      <c r="CB155" s="386"/>
      <c r="CC155" s="386"/>
      <c r="CD155" s="386"/>
      <c r="CE155" s="386"/>
      <c r="CF155" s="386"/>
      <c r="CG155" s="386"/>
      <c r="CH155" s="386"/>
      <c r="CI155" s="386"/>
      <c r="CJ155" s="386"/>
      <c r="CK155" s="386"/>
      <c r="CL155" s="386"/>
      <c r="CM155" s="386"/>
      <c r="CN155" s="386"/>
      <c r="CO155" s="386"/>
      <c r="CP155" s="386"/>
      <c r="CQ155" s="386"/>
      <c r="CR155" s="386"/>
      <c r="CS155" s="386"/>
      <c r="CT155" s="386"/>
      <c r="CU155" s="386"/>
      <c r="CV155" s="386"/>
      <c r="CW155" s="386"/>
      <c r="CX155" s="386"/>
      <c r="CY155" s="386"/>
      <c r="CZ155" s="386"/>
      <c r="DA155" s="386"/>
      <c r="DB155" s="386"/>
      <c r="DC155" s="386"/>
      <c r="DD155" s="386"/>
      <c r="DE155" s="386"/>
      <c r="DF155" s="386"/>
      <c r="DG155" s="386"/>
      <c r="DH155" s="386"/>
      <c r="DI155" s="386"/>
      <c r="DJ155" s="386"/>
      <c r="DK155" s="386"/>
      <c r="DL155" s="386"/>
      <c r="DM155" s="386"/>
      <c r="DN155" s="386"/>
      <c r="DO155" s="386"/>
      <c r="DP155" s="386"/>
      <c r="DQ155" s="386"/>
      <c r="DR155" s="386"/>
      <c r="DS155" s="386"/>
      <c r="DT155" s="386"/>
      <c r="DU155" s="386"/>
      <c r="DV155" s="386"/>
      <c r="DW155" s="386"/>
      <c r="DX155" s="386"/>
      <c r="DY155" s="386"/>
      <c r="DZ155" s="386"/>
      <c r="EA155" s="386"/>
      <c r="EB155" s="386"/>
      <c r="EC155" s="386"/>
      <c r="ED155" s="386"/>
      <c r="EE155" s="386"/>
      <c r="EF155" s="386"/>
      <c r="EG155" s="386"/>
      <c r="EH155" s="386"/>
      <c r="EI155" s="386"/>
      <c r="EJ155" s="386"/>
      <c r="EK155" s="386"/>
      <c r="EL155" s="386"/>
      <c r="EM155" s="386"/>
      <c r="EN155" s="386"/>
      <c r="EO155" s="386"/>
      <c r="EP155" s="386"/>
      <c r="EQ155" s="386"/>
      <c r="ER155" s="386"/>
      <c r="ES155" s="386"/>
      <c r="ET155" s="386"/>
      <c r="EU155" s="386"/>
      <c r="EV155" s="386"/>
      <c r="EW155" s="386"/>
      <c r="EX155" s="386"/>
      <c r="EY155" s="386"/>
      <c r="EZ155" s="386"/>
      <c r="FA155" s="386"/>
      <c r="FB155" s="386"/>
      <c r="FC155" s="386"/>
      <c r="FD155" s="386"/>
      <c r="FE155" s="386"/>
      <c r="FF155" s="386"/>
      <c r="FG155" s="386"/>
      <c r="FH155" s="386"/>
      <c r="FI155" s="386"/>
      <c r="FJ155" s="386"/>
      <c r="FK155" s="386"/>
      <c r="FL155" s="386"/>
      <c r="FM155" s="386"/>
      <c r="FN155" s="386"/>
      <c r="FO155" s="386"/>
      <c r="FP155" s="386"/>
      <c r="FQ155" s="386"/>
      <c r="FR155" s="386"/>
      <c r="FS155" s="386"/>
      <c r="FT155" s="386"/>
      <c r="FU155" s="386"/>
      <c r="FV155" s="386"/>
      <c r="FW155" s="386"/>
      <c r="FX155" s="386"/>
      <c r="FY155" s="386"/>
      <c r="FZ155" s="386"/>
      <c r="GA155" s="386"/>
      <c r="GB155" s="386"/>
      <c r="GC155" s="386"/>
      <c r="GD155" s="386"/>
      <c r="GE155" s="386"/>
      <c r="GF155" s="386"/>
      <c r="GG155" s="386"/>
      <c r="GH155" s="386"/>
      <c r="GI155" s="386"/>
      <c r="GJ155" s="386"/>
      <c r="GK155" s="386"/>
      <c r="GL155" s="386"/>
    </row>
    <row r="156" spans="1:194" s="393" customFormat="1" ht="27.75" customHeight="1" hidden="1">
      <c r="A156" s="386"/>
      <c r="B156" s="465"/>
      <c r="C156" s="465"/>
      <c r="D156" s="465"/>
      <c r="E156" s="465"/>
      <c r="F156" s="465"/>
      <c r="G156" s="465"/>
      <c r="H156" s="465"/>
      <c r="I156" s="465"/>
      <c r="J156" s="465"/>
      <c r="K156" s="465"/>
      <c r="L156" s="465"/>
      <c r="M156" s="465"/>
      <c r="N156" s="386"/>
      <c r="O156" s="386"/>
      <c r="P156" s="386"/>
      <c r="Q156" s="386"/>
      <c r="R156" s="386"/>
      <c r="S156" s="386"/>
      <c r="T156" s="386"/>
      <c r="U156" s="386"/>
      <c r="V156" s="386"/>
      <c r="W156" s="386"/>
      <c r="X156" s="386"/>
      <c r="Y156" s="386"/>
      <c r="Z156" s="386"/>
      <c r="AA156" s="404">
        <v>71</v>
      </c>
      <c r="AB156" s="388">
        <v>44740</v>
      </c>
      <c r="AC156" s="433">
        <v>24900</v>
      </c>
      <c r="AD156" s="433">
        <v>25600</v>
      </c>
      <c r="AE156" s="388">
        <v>44740</v>
      </c>
      <c r="AF156" s="388">
        <v>45850</v>
      </c>
      <c r="AG156" s="388">
        <v>46960</v>
      </c>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c r="BO156" s="386"/>
      <c r="BP156" s="386"/>
      <c r="BQ156" s="386"/>
      <c r="BR156" s="386"/>
      <c r="BS156" s="386"/>
      <c r="BT156" s="386"/>
      <c r="BU156" s="386"/>
      <c r="BV156" s="386"/>
      <c r="BW156" s="386"/>
      <c r="BX156" s="386"/>
      <c r="BY156" s="386"/>
      <c r="BZ156" s="386"/>
      <c r="CA156" s="386"/>
      <c r="CB156" s="386"/>
      <c r="CC156" s="386"/>
      <c r="CD156" s="386"/>
      <c r="CE156" s="386"/>
      <c r="CF156" s="386"/>
      <c r="CG156" s="386"/>
      <c r="CH156" s="386"/>
      <c r="CI156" s="386"/>
      <c r="CJ156" s="386"/>
      <c r="CK156" s="386"/>
      <c r="CL156" s="386"/>
      <c r="CM156" s="386"/>
      <c r="CN156" s="386"/>
      <c r="CO156" s="386"/>
      <c r="CP156" s="386"/>
      <c r="CQ156" s="386"/>
      <c r="CR156" s="386"/>
      <c r="CS156" s="386"/>
      <c r="CT156" s="386"/>
      <c r="CU156" s="386"/>
      <c r="CV156" s="386"/>
      <c r="CW156" s="386"/>
      <c r="CX156" s="386"/>
      <c r="CY156" s="386"/>
      <c r="CZ156" s="386"/>
      <c r="DA156" s="386"/>
      <c r="DB156" s="386"/>
      <c r="DC156" s="386"/>
      <c r="DD156" s="386"/>
      <c r="DE156" s="386"/>
      <c r="DF156" s="386"/>
      <c r="DG156" s="386"/>
      <c r="DH156" s="386"/>
      <c r="DI156" s="386"/>
      <c r="DJ156" s="386"/>
      <c r="DK156" s="386"/>
      <c r="DL156" s="386"/>
      <c r="DM156" s="386"/>
      <c r="DN156" s="386"/>
      <c r="DO156" s="386"/>
      <c r="DP156" s="386"/>
      <c r="DQ156" s="386"/>
      <c r="DR156" s="386"/>
      <c r="DS156" s="386"/>
      <c r="DT156" s="386"/>
      <c r="DU156" s="386"/>
      <c r="DV156" s="386"/>
      <c r="DW156" s="386"/>
      <c r="DX156" s="386"/>
      <c r="DY156" s="386"/>
      <c r="DZ156" s="386"/>
      <c r="EA156" s="386"/>
      <c r="EB156" s="386"/>
      <c r="EC156" s="386"/>
      <c r="ED156" s="386"/>
      <c r="EE156" s="386"/>
      <c r="EF156" s="386"/>
      <c r="EG156" s="386"/>
      <c r="EH156" s="386"/>
      <c r="EI156" s="386"/>
      <c r="EJ156" s="386"/>
      <c r="EK156" s="386"/>
      <c r="EL156" s="386"/>
      <c r="EM156" s="386"/>
      <c r="EN156" s="386"/>
      <c r="EO156" s="386"/>
      <c r="EP156" s="386"/>
      <c r="EQ156" s="386"/>
      <c r="ER156" s="386"/>
      <c r="ES156" s="386"/>
      <c r="ET156" s="386"/>
      <c r="EU156" s="386"/>
      <c r="EV156" s="386"/>
      <c r="EW156" s="386"/>
      <c r="EX156" s="386"/>
      <c r="EY156" s="386"/>
      <c r="EZ156" s="386"/>
      <c r="FA156" s="386"/>
      <c r="FB156" s="386"/>
      <c r="FC156" s="386"/>
      <c r="FD156" s="386"/>
      <c r="FE156" s="386"/>
      <c r="FF156" s="386"/>
      <c r="FG156" s="386"/>
      <c r="FH156" s="386"/>
      <c r="FI156" s="386"/>
      <c r="FJ156" s="386"/>
      <c r="FK156" s="386"/>
      <c r="FL156" s="386"/>
      <c r="FM156" s="386"/>
      <c r="FN156" s="386"/>
      <c r="FO156" s="386"/>
      <c r="FP156" s="386"/>
      <c r="FQ156" s="386"/>
      <c r="FR156" s="386"/>
      <c r="FS156" s="386"/>
      <c r="FT156" s="386"/>
      <c r="FU156" s="386"/>
      <c r="FV156" s="386"/>
      <c r="FW156" s="386"/>
      <c r="FX156" s="386"/>
      <c r="FY156" s="386"/>
      <c r="FZ156" s="386"/>
      <c r="GA156" s="386"/>
      <c r="GB156" s="386"/>
      <c r="GC156" s="386"/>
      <c r="GD156" s="386"/>
      <c r="GE156" s="386"/>
      <c r="GF156" s="386"/>
      <c r="GG156" s="386"/>
      <c r="GH156" s="386"/>
      <c r="GI156" s="386"/>
      <c r="GJ156" s="386"/>
      <c r="GK156" s="386"/>
      <c r="GL156" s="386"/>
    </row>
    <row r="157" spans="1:194" s="393" customFormat="1" ht="27.75" customHeight="1" hidden="1">
      <c r="A157" s="386"/>
      <c r="B157" s="465"/>
      <c r="C157" s="465"/>
      <c r="D157" s="465"/>
      <c r="E157" s="465"/>
      <c r="F157" s="465"/>
      <c r="G157" s="465"/>
      <c r="H157" s="465"/>
      <c r="I157" s="465"/>
      <c r="J157" s="465"/>
      <c r="K157" s="465"/>
      <c r="L157" s="465"/>
      <c r="M157" s="465"/>
      <c r="N157" s="386"/>
      <c r="O157" s="386"/>
      <c r="P157" s="386"/>
      <c r="Q157" s="386"/>
      <c r="R157" s="386"/>
      <c r="S157" s="386"/>
      <c r="T157" s="386"/>
      <c r="U157" s="386"/>
      <c r="V157" s="386"/>
      <c r="W157" s="386"/>
      <c r="X157" s="386"/>
      <c r="Y157" s="386"/>
      <c r="Z157" s="386"/>
      <c r="AA157" s="404">
        <v>72</v>
      </c>
      <c r="AB157" s="388">
        <v>45850</v>
      </c>
      <c r="AC157" s="433">
        <v>25600</v>
      </c>
      <c r="AD157" s="433">
        <v>26300</v>
      </c>
      <c r="AE157" s="388">
        <v>45850</v>
      </c>
      <c r="AF157" s="388">
        <v>46960</v>
      </c>
      <c r="AG157" s="388">
        <v>48160</v>
      </c>
      <c r="AH157" s="386"/>
      <c r="AI157" s="386"/>
      <c r="AJ157" s="386"/>
      <c r="AK157" s="386"/>
      <c r="AL157" s="386"/>
      <c r="AM157" s="386"/>
      <c r="AN157" s="386"/>
      <c r="AO157" s="386"/>
      <c r="AP157" s="386"/>
      <c r="AQ157" s="386"/>
      <c r="AR157" s="386"/>
      <c r="AS157" s="386"/>
      <c r="AT157" s="386"/>
      <c r="AU157" s="386"/>
      <c r="AV157" s="386"/>
      <c r="AW157" s="386"/>
      <c r="AX157" s="386"/>
      <c r="AY157" s="386"/>
      <c r="AZ157" s="386"/>
      <c r="BA157" s="386"/>
      <c r="BB157" s="386"/>
      <c r="BC157" s="386"/>
      <c r="BD157" s="386"/>
      <c r="BE157" s="386"/>
      <c r="BF157" s="386"/>
      <c r="BG157" s="386"/>
      <c r="BH157" s="386"/>
      <c r="BI157" s="386"/>
      <c r="BJ157" s="386"/>
      <c r="BK157" s="386"/>
      <c r="BL157" s="386"/>
      <c r="BM157" s="386"/>
      <c r="BN157" s="386"/>
      <c r="BO157" s="386"/>
      <c r="BP157" s="386"/>
      <c r="BQ157" s="386"/>
      <c r="BR157" s="386"/>
      <c r="BS157" s="386"/>
      <c r="BT157" s="386"/>
      <c r="BU157" s="386"/>
      <c r="BV157" s="386"/>
      <c r="BW157" s="386"/>
      <c r="BX157" s="386"/>
      <c r="BY157" s="386"/>
      <c r="BZ157" s="386"/>
      <c r="CA157" s="386"/>
      <c r="CB157" s="386"/>
      <c r="CC157" s="386"/>
      <c r="CD157" s="386"/>
      <c r="CE157" s="386"/>
      <c r="CF157" s="386"/>
      <c r="CG157" s="386"/>
      <c r="CH157" s="386"/>
      <c r="CI157" s="386"/>
      <c r="CJ157" s="386"/>
      <c r="CK157" s="386"/>
      <c r="CL157" s="386"/>
      <c r="CM157" s="386"/>
      <c r="CN157" s="386"/>
      <c r="CO157" s="386"/>
      <c r="CP157" s="386"/>
      <c r="CQ157" s="386"/>
      <c r="CR157" s="386"/>
      <c r="CS157" s="386"/>
      <c r="CT157" s="386"/>
      <c r="CU157" s="386"/>
      <c r="CV157" s="386"/>
      <c r="CW157" s="386"/>
      <c r="CX157" s="386"/>
      <c r="CY157" s="386"/>
      <c r="CZ157" s="386"/>
      <c r="DA157" s="386"/>
      <c r="DB157" s="386"/>
      <c r="DC157" s="386"/>
      <c r="DD157" s="386"/>
      <c r="DE157" s="386"/>
      <c r="DF157" s="386"/>
      <c r="DG157" s="386"/>
      <c r="DH157" s="386"/>
      <c r="DI157" s="386"/>
      <c r="DJ157" s="386"/>
      <c r="DK157" s="386"/>
      <c r="DL157" s="386"/>
      <c r="DM157" s="386"/>
      <c r="DN157" s="386"/>
      <c r="DO157" s="386"/>
      <c r="DP157" s="386"/>
      <c r="DQ157" s="386"/>
      <c r="DR157" s="386"/>
      <c r="DS157" s="386"/>
      <c r="DT157" s="386"/>
      <c r="DU157" s="386"/>
      <c r="DV157" s="386"/>
      <c r="DW157" s="386"/>
      <c r="DX157" s="386"/>
      <c r="DY157" s="386"/>
      <c r="DZ157" s="386"/>
      <c r="EA157" s="386"/>
      <c r="EB157" s="386"/>
      <c r="EC157" s="386"/>
      <c r="ED157" s="386"/>
      <c r="EE157" s="386"/>
      <c r="EF157" s="386"/>
      <c r="EG157" s="386"/>
      <c r="EH157" s="386"/>
      <c r="EI157" s="386"/>
      <c r="EJ157" s="386"/>
      <c r="EK157" s="386"/>
      <c r="EL157" s="386"/>
      <c r="EM157" s="386"/>
      <c r="EN157" s="386"/>
      <c r="EO157" s="386"/>
      <c r="EP157" s="386"/>
      <c r="EQ157" s="386"/>
      <c r="ER157" s="386"/>
      <c r="ES157" s="386"/>
      <c r="ET157" s="386"/>
      <c r="EU157" s="386"/>
      <c r="EV157" s="386"/>
      <c r="EW157" s="386"/>
      <c r="EX157" s="386"/>
      <c r="EY157" s="386"/>
      <c r="EZ157" s="386"/>
      <c r="FA157" s="386"/>
      <c r="FB157" s="386"/>
      <c r="FC157" s="386"/>
      <c r="FD157" s="386"/>
      <c r="FE157" s="386"/>
      <c r="FF157" s="386"/>
      <c r="FG157" s="386"/>
      <c r="FH157" s="386"/>
      <c r="FI157" s="386"/>
      <c r="FJ157" s="386"/>
      <c r="FK157" s="386"/>
      <c r="FL157" s="386"/>
      <c r="FM157" s="386"/>
      <c r="FN157" s="386"/>
      <c r="FO157" s="386"/>
      <c r="FP157" s="386"/>
      <c r="FQ157" s="386"/>
      <c r="FR157" s="386"/>
      <c r="FS157" s="386"/>
      <c r="FT157" s="386"/>
      <c r="FU157" s="386"/>
      <c r="FV157" s="386"/>
      <c r="FW157" s="386"/>
      <c r="FX157" s="386"/>
      <c r="FY157" s="386"/>
      <c r="FZ157" s="386"/>
      <c r="GA157" s="386"/>
      <c r="GB157" s="386"/>
      <c r="GC157" s="386"/>
      <c r="GD157" s="386"/>
      <c r="GE157" s="386"/>
      <c r="GF157" s="386"/>
      <c r="GG157" s="386"/>
      <c r="GH157" s="386"/>
      <c r="GI157" s="386"/>
      <c r="GJ157" s="386"/>
      <c r="GK157" s="386"/>
      <c r="GL157" s="386"/>
    </row>
    <row r="158" spans="1:194" s="393" customFormat="1" ht="27.75" customHeight="1" hidden="1">
      <c r="A158" s="386"/>
      <c r="B158" s="465"/>
      <c r="C158" s="465"/>
      <c r="D158" s="465"/>
      <c r="E158" s="465"/>
      <c r="F158" s="465"/>
      <c r="G158" s="465"/>
      <c r="H158" s="465"/>
      <c r="I158" s="465"/>
      <c r="J158" s="465"/>
      <c r="K158" s="465"/>
      <c r="L158" s="465"/>
      <c r="M158" s="465"/>
      <c r="N158" s="386"/>
      <c r="O158" s="386"/>
      <c r="P158" s="386"/>
      <c r="Q158" s="386"/>
      <c r="R158" s="386"/>
      <c r="S158" s="386"/>
      <c r="T158" s="386"/>
      <c r="U158" s="386"/>
      <c r="V158" s="386"/>
      <c r="W158" s="386"/>
      <c r="X158" s="386"/>
      <c r="Y158" s="386"/>
      <c r="Z158" s="386"/>
      <c r="AA158" s="404">
        <v>73</v>
      </c>
      <c r="AB158" s="388">
        <v>46960</v>
      </c>
      <c r="AC158" s="433">
        <v>26300</v>
      </c>
      <c r="AD158" s="433">
        <v>27000</v>
      </c>
      <c r="AE158" s="388">
        <v>46960</v>
      </c>
      <c r="AF158" s="388">
        <v>48160</v>
      </c>
      <c r="AG158" s="388">
        <v>49360</v>
      </c>
      <c r="AH158" s="386"/>
      <c r="AI158" s="386"/>
      <c r="AJ158" s="386"/>
      <c r="AK158" s="386"/>
      <c r="AL158" s="386"/>
      <c r="AM158" s="386"/>
      <c r="AN158" s="386"/>
      <c r="AO158" s="386"/>
      <c r="AP158" s="386"/>
      <c r="AQ158" s="386"/>
      <c r="AR158" s="386"/>
      <c r="AS158" s="386"/>
      <c r="AT158" s="386"/>
      <c r="AU158" s="386"/>
      <c r="AV158" s="386"/>
      <c r="AW158" s="386"/>
      <c r="AX158" s="386"/>
      <c r="AY158" s="386"/>
      <c r="AZ158" s="386"/>
      <c r="BA158" s="386"/>
      <c r="BB158" s="386"/>
      <c r="BC158" s="386"/>
      <c r="BD158" s="386"/>
      <c r="BE158" s="386"/>
      <c r="BF158" s="386"/>
      <c r="BG158" s="386"/>
      <c r="BH158" s="386"/>
      <c r="BI158" s="386"/>
      <c r="BJ158" s="386"/>
      <c r="BK158" s="386"/>
      <c r="BL158" s="386"/>
      <c r="BM158" s="386"/>
      <c r="BN158" s="386"/>
      <c r="BO158" s="386"/>
      <c r="BP158" s="386"/>
      <c r="BQ158" s="386"/>
      <c r="BR158" s="386"/>
      <c r="BS158" s="386"/>
      <c r="BT158" s="386"/>
      <c r="BU158" s="386"/>
      <c r="BV158" s="386"/>
      <c r="BW158" s="386"/>
      <c r="BX158" s="386"/>
      <c r="BY158" s="386"/>
      <c r="BZ158" s="386"/>
      <c r="CA158" s="386"/>
      <c r="CB158" s="386"/>
      <c r="CC158" s="386"/>
      <c r="CD158" s="386"/>
      <c r="CE158" s="386"/>
      <c r="CF158" s="386"/>
      <c r="CG158" s="386"/>
      <c r="CH158" s="386"/>
      <c r="CI158" s="386"/>
      <c r="CJ158" s="386"/>
      <c r="CK158" s="386"/>
      <c r="CL158" s="386"/>
      <c r="CM158" s="386"/>
      <c r="CN158" s="386"/>
      <c r="CO158" s="386"/>
      <c r="CP158" s="386"/>
      <c r="CQ158" s="386"/>
      <c r="CR158" s="386"/>
      <c r="CS158" s="386"/>
      <c r="CT158" s="386"/>
      <c r="CU158" s="386"/>
      <c r="CV158" s="386"/>
      <c r="CW158" s="386"/>
      <c r="CX158" s="386"/>
      <c r="CY158" s="386"/>
      <c r="CZ158" s="386"/>
      <c r="DA158" s="386"/>
      <c r="DB158" s="386"/>
      <c r="DC158" s="386"/>
      <c r="DD158" s="386"/>
      <c r="DE158" s="386"/>
      <c r="DF158" s="386"/>
      <c r="DG158" s="386"/>
      <c r="DH158" s="386"/>
      <c r="DI158" s="386"/>
      <c r="DJ158" s="386"/>
      <c r="DK158" s="386"/>
      <c r="DL158" s="386"/>
      <c r="DM158" s="386"/>
      <c r="DN158" s="386"/>
      <c r="DO158" s="386"/>
      <c r="DP158" s="386"/>
      <c r="DQ158" s="386"/>
      <c r="DR158" s="386"/>
      <c r="DS158" s="386"/>
      <c r="DT158" s="386"/>
      <c r="DU158" s="386"/>
      <c r="DV158" s="386"/>
      <c r="DW158" s="386"/>
      <c r="DX158" s="386"/>
      <c r="DY158" s="386"/>
      <c r="DZ158" s="386"/>
      <c r="EA158" s="386"/>
      <c r="EB158" s="386"/>
      <c r="EC158" s="386"/>
      <c r="ED158" s="386"/>
      <c r="EE158" s="386"/>
      <c r="EF158" s="386"/>
      <c r="EG158" s="386"/>
      <c r="EH158" s="386"/>
      <c r="EI158" s="386"/>
      <c r="EJ158" s="386"/>
      <c r="EK158" s="386"/>
      <c r="EL158" s="386"/>
      <c r="EM158" s="386"/>
      <c r="EN158" s="386"/>
      <c r="EO158" s="386"/>
      <c r="EP158" s="386"/>
      <c r="EQ158" s="386"/>
      <c r="ER158" s="386"/>
      <c r="ES158" s="386"/>
      <c r="ET158" s="386"/>
      <c r="EU158" s="386"/>
      <c r="EV158" s="386"/>
      <c r="EW158" s="386"/>
      <c r="EX158" s="386"/>
      <c r="EY158" s="386"/>
      <c r="EZ158" s="386"/>
      <c r="FA158" s="386"/>
      <c r="FB158" s="386"/>
      <c r="FC158" s="386"/>
      <c r="FD158" s="386"/>
      <c r="FE158" s="386"/>
      <c r="FF158" s="386"/>
      <c r="FG158" s="386"/>
      <c r="FH158" s="386"/>
      <c r="FI158" s="386"/>
      <c r="FJ158" s="386"/>
      <c r="FK158" s="386"/>
      <c r="FL158" s="386"/>
      <c r="FM158" s="386"/>
      <c r="FN158" s="386"/>
      <c r="FO158" s="386"/>
      <c r="FP158" s="386"/>
      <c r="FQ158" s="386"/>
      <c r="FR158" s="386"/>
      <c r="FS158" s="386"/>
      <c r="FT158" s="386"/>
      <c r="FU158" s="386"/>
      <c r="FV158" s="386"/>
      <c r="FW158" s="386"/>
      <c r="FX158" s="386"/>
      <c r="FY158" s="386"/>
      <c r="FZ158" s="386"/>
      <c r="GA158" s="386"/>
      <c r="GB158" s="386"/>
      <c r="GC158" s="386"/>
      <c r="GD158" s="386"/>
      <c r="GE158" s="386"/>
      <c r="GF158" s="386"/>
      <c r="GG158" s="386"/>
      <c r="GH158" s="386"/>
      <c r="GI158" s="386"/>
      <c r="GJ158" s="386"/>
      <c r="GK158" s="386"/>
      <c r="GL158" s="386"/>
    </row>
    <row r="159" spans="1:194" s="393" customFormat="1" ht="27.75" customHeight="1" hidden="1">
      <c r="A159" s="386"/>
      <c r="B159" s="465"/>
      <c r="C159" s="465"/>
      <c r="D159" s="465"/>
      <c r="E159" s="465"/>
      <c r="F159" s="465"/>
      <c r="G159" s="465"/>
      <c r="H159" s="465"/>
      <c r="I159" s="465"/>
      <c r="J159" s="465"/>
      <c r="K159" s="465"/>
      <c r="L159" s="465"/>
      <c r="M159" s="465"/>
      <c r="N159" s="386"/>
      <c r="O159" s="386"/>
      <c r="P159" s="386"/>
      <c r="Q159" s="386"/>
      <c r="R159" s="386"/>
      <c r="S159" s="386"/>
      <c r="T159" s="386"/>
      <c r="U159" s="386"/>
      <c r="V159" s="386"/>
      <c r="W159" s="386"/>
      <c r="X159" s="386"/>
      <c r="Y159" s="386"/>
      <c r="Z159" s="386"/>
      <c r="AA159" s="404">
        <v>74</v>
      </c>
      <c r="AB159" s="388">
        <v>48160</v>
      </c>
      <c r="AC159" s="433">
        <v>27000</v>
      </c>
      <c r="AD159" s="433">
        <v>27750</v>
      </c>
      <c r="AE159" s="388">
        <v>48160</v>
      </c>
      <c r="AF159" s="388">
        <v>49360</v>
      </c>
      <c r="AG159" s="388">
        <v>50560</v>
      </c>
      <c r="AH159" s="386"/>
      <c r="AI159" s="386"/>
      <c r="AJ159" s="386"/>
      <c r="AK159" s="386"/>
      <c r="AL159" s="386"/>
      <c r="AM159" s="386"/>
      <c r="AN159" s="386"/>
      <c r="AO159" s="386"/>
      <c r="AP159" s="386"/>
      <c r="AQ159" s="386"/>
      <c r="AR159" s="386"/>
      <c r="AS159" s="386"/>
      <c r="AT159" s="386"/>
      <c r="AU159" s="386"/>
      <c r="AV159" s="386"/>
      <c r="AW159" s="386"/>
      <c r="AX159" s="386"/>
      <c r="AY159" s="386"/>
      <c r="AZ159" s="386"/>
      <c r="BA159" s="386"/>
      <c r="BB159" s="386"/>
      <c r="BC159" s="386"/>
      <c r="BD159" s="386"/>
      <c r="BE159" s="386"/>
      <c r="BF159" s="386"/>
      <c r="BG159" s="386"/>
      <c r="BH159" s="386"/>
      <c r="BI159" s="386"/>
      <c r="BJ159" s="386"/>
      <c r="BK159" s="386"/>
      <c r="BL159" s="386"/>
      <c r="BM159" s="386"/>
      <c r="BN159" s="386"/>
      <c r="BO159" s="386"/>
      <c r="BP159" s="386"/>
      <c r="BQ159" s="386"/>
      <c r="BR159" s="386"/>
      <c r="BS159" s="386"/>
      <c r="BT159" s="386"/>
      <c r="BU159" s="386"/>
      <c r="BV159" s="386"/>
      <c r="BW159" s="386"/>
      <c r="BX159" s="386"/>
      <c r="BY159" s="386"/>
      <c r="BZ159" s="386"/>
      <c r="CA159" s="386"/>
      <c r="CB159" s="386"/>
      <c r="CC159" s="386"/>
      <c r="CD159" s="386"/>
      <c r="CE159" s="386"/>
      <c r="CF159" s="386"/>
      <c r="CG159" s="386"/>
      <c r="CH159" s="386"/>
      <c r="CI159" s="386"/>
      <c r="CJ159" s="386"/>
      <c r="CK159" s="386"/>
      <c r="CL159" s="386"/>
      <c r="CM159" s="386"/>
      <c r="CN159" s="386"/>
      <c r="CO159" s="386"/>
      <c r="CP159" s="386"/>
      <c r="CQ159" s="386"/>
      <c r="CR159" s="386"/>
      <c r="CS159" s="386"/>
      <c r="CT159" s="386"/>
      <c r="CU159" s="386"/>
      <c r="CV159" s="386"/>
      <c r="CW159" s="386"/>
      <c r="CX159" s="386"/>
      <c r="CY159" s="386"/>
      <c r="CZ159" s="386"/>
      <c r="DA159" s="386"/>
      <c r="DB159" s="386"/>
      <c r="DC159" s="386"/>
      <c r="DD159" s="386"/>
      <c r="DE159" s="386"/>
      <c r="DF159" s="386"/>
      <c r="DG159" s="386"/>
      <c r="DH159" s="386"/>
      <c r="DI159" s="386"/>
      <c r="DJ159" s="386"/>
      <c r="DK159" s="386"/>
      <c r="DL159" s="386"/>
      <c r="DM159" s="386"/>
      <c r="DN159" s="386"/>
      <c r="DO159" s="386"/>
      <c r="DP159" s="386"/>
      <c r="DQ159" s="386"/>
      <c r="DR159" s="386"/>
      <c r="DS159" s="386"/>
      <c r="DT159" s="386"/>
      <c r="DU159" s="386"/>
      <c r="DV159" s="386"/>
      <c r="DW159" s="386"/>
      <c r="DX159" s="386"/>
      <c r="DY159" s="386"/>
      <c r="DZ159" s="386"/>
      <c r="EA159" s="386"/>
      <c r="EB159" s="386"/>
      <c r="EC159" s="386"/>
      <c r="ED159" s="386"/>
      <c r="EE159" s="386"/>
      <c r="EF159" s="386"/>
      <c r="EG159" s="386"/>
      <c r="EH159" s="386"/>
      <c r="EI159" s="386"/>
      <c r="EJ159" s="386"/>
      <c r="EK159" s="386"/>
      <c r="EL159" s="386"/>
      <c r="EM159" s="386"/>
      <c r="EN159" s="386"/>
      <c r="EO159" s="386"/>
      <c r="EP159" s="386"/>
      <c r="EQ159" s="386"/>
      <c r="ER159" s="386"/>
      <c r="ES159" s="386"/>
      <c r="ET159" s="386"/>
      <c r="EU159" s="386"/>
      <c r="EV159" s="386"/>
      <c r="EW159" s="386"/>
      <c r="EX159" s="386"/>
      <c r="EY159" s="386"/>
      <c r="EZ159" s="386"/>
      <c r="FA159" s="386"/>
      <c r="FB159" s="386"/>
      <c r="FC159" s="386"/>
      <c r="FD159" s="386"/>
      <c r="FE159" s="386"/>
      <c r="FF159" s="386"/>
      <c r="FG159" s="386"/>
      <c r="FH159" s="386"/>
      <c r="FI159" s="386"/>
      <c r="FJ159" s="386"/>
      <c r="FK159" s="386"/>
      <c r="FL159" s="386"/>
      <c r="FM159" s="386"/>
      <c r="FN159" s="386"/>
      <c r="FO159" s="386"/>
      <c r="FP159" s="386"/>
      <c r="FQ159" s="386"/>
      <c r="FR159" s="386"/>
      <c r="FS159" s="386"/>
      <c r="FT159" s="386"/>
      <c r="FU159" s="386"/>
      <c r="FV159" s="386"/>
      <c r="FW159" s="386"/>
      <c r="FX159" s="386"/>
      <c r="FY159" s="386"/>
      <c r="FZ159" s="386"/>
      <c r="GA159" s="386"/>
      <c r="GB159" s="386"/>
      <c r="GC159" s="386"/>
      <c r="GD159" s="386"/>
      <c r="GE159" s="386"/>
      <c r="GF159" s="386"/>
      <c r="GG159" s="386"/>
      <c r="GH159" s="386"/>
      <c r="GI159" s="386"/>
      <c r="GJ159" s="386"/>
      <c r="GK159" s="386"/>
      <c r="GL159" s="386"/>
    </row>
    <row r="160" spans="1:194" s="393" customFormat="1" ht="27.75" customHeight="1" hidden="1">
      <c r="A160" s="386"/>
      <c r="B160" s="465"/>
      <c r="C160" s="465"/>
      <c r="D160" s="465"/>
      <c r="E160" s="465"/>
      <c r="F160" s="465"/>
      <c r="G160" s="465"/>
      <c r="H160" s="465"/>
      <c r="I160" s="465"/>
      <c r="J160" s="465"/>
      <c r="K160" s="465"/>
      <c r="L160" s="465"/>
      <c r="M160" s="465"/>
      <c r="N160" s="386"/>
      <c r="O160" s="386"/>
      <c r="P160" s="386"/>
      <c r="Q160" s="386"/>
      <c r="R160" s="386"/>
      <c r="S160" s="386"/>
      <c r="T160" s="386"/>
      <c r="U160" s="386"/>
      <c r="V160" s="386"/>
      <c r="W160" s="386"/>
      <c r="X160" s="386"/>
      <c r="Y160" s="386"/>
      <c r="Z160" s="386"/>
      <c r="AA160" s="404">
        <v>75</v>
      </c>
      <c r="AB160" s="388">
        <v>49360</v>
      </c>
      <c r="AC160" s="433">
        <v>27750</v>
      </c>
      <c r="AD160" s="433">
        <v>28500</v>
      </c>
      <c r="AE160" s="388">
        <v>49360</v>
      </c>
      <c r="AF160" s="388">
        <v>50560</v>
      </c>
      <c r="AG160" s="388">
        <v>51760</v>
      </c>
      <c r="AH160" s="386"/>
      <c r="AI160" s="386"/>
      <c r="AJ160" s="386"/>
      <c r="AK160" s="386"/>
      <c r="AL160" s="386"/>
      <c r="AM160" s="386"/>
      <c r="AN160" s="386"/>
      <c r="AO160" s="386"/>
      <c r="AP160" s="386"/>
      <c r="AQ160" s="386"/>
      <c r="AR160" s="386"/>
      <c r="AS160" s="386"/>
      <c r="AT160" s="386"/>
      <c r="AU160" s="386"/>
      <c r="AV160" s="386"/>
      <c r="AW160" s="386"/>
      <c r="AX160" s="386"/>
      <c r="AY160" s="386"/>
      <c r="AZ160" s="386"/>
      <c r="BA160" s="386"/>
      <c r="BB160" s="386"/>
      <c r="BC160" s="386"/>
      <c r="BD160" s="386"/>
      <c r="BE160" s="386"/>
      <c r="BF160" s="386"/>
      <c r="BG160" s="386"/>
      <c r="BH160" s="386"/>
      <c r="BI160" s="386"/>
      <c r="BJ160" s="386"/>
      <c r="BK160" s="386"/>
      <c r="BL160" s="386"/>
      <c r="BM160" s="386"/>
      <c r="BN160" s="386"/>
      <c r="BO160" s="386"/>
      <c r="BP160" s="386"/>
      <c r="BQ160" s="386"/>
      <c r="BR160" s="386"/>
      <c r="BS160" s="386"/>
      <c r="BT160" s="386"/>
      <c r="BU160" s="386"/>
      <c r="BV160" s="386"/>
      <c r="BW160" s="386"/>
      <c r="BX160" s="386"/>
      <c r="BY160" s="386"/>
      <c r="BZ160" s="386"/>
      <c r="CA160" s="386"/>
      <c r="CB160" s="386"/>
      <c r="CC160" s="386"/>
      <c r="CD160" s="386"/>
      <c r="CE160" s="386"/>
      <c r="CF160" s="386"/>
      <c r="CG160" s="386"/>
      <c r="CH160" s="386"/>
      <c r="CI160" s="386"/>
      <c r="CJ160" s="386"/>
      <c r="CK160" s="386"/>
      <c r="CL160" s="386"/>
      <c r="CM160" s="386"/>
      <c r="CN160" s="386"/>
      <c r="CO160" s="386"/>
      <c r="CP160" s="386"/>
      <c r="CQ160" s="386"/>
      <c r="CR160" s="386"/>
      <c r="CS160" s="386"/>
      <c r="CT160" s="386"/>
      <c r="CU160" s="386"/>
      <c r="CV160" s="386"/>
      <c r="CW160" s="386"/>
      <c r="CX160" s="386"/>
      <c r="CY160" s="386"/>
      <c r="CZ160" s="386"/>
      <c r="DA160" s="386"/>
      <c r="DB160" s="386"/>
      <c r="DC160" s="386"/>
      <c r="DD160" s="386"/>
      <c r="DE160" s="386"/>
      <c r="DF160" s="386"/>
      <c r="DG160" s="386"/>
      <c r="DH160" s="386"/>
      <c r="DI160" s="386"/>
      <c r="DJ160" s="386"/>
      <c r="DK160" s="386"/>
      <c r="DL160" s="386"/>
      <c r="DM160" s="386"/>
      <c r="DN160" s="386"/>
      <c r="DO160" s="386"/>
      <c r="DP160" s="386"/>
      <c r="DQ160" s="386"/>
      <c r="DR160" s="386"/>
      <c r="DS160" s="386"/>
      <c r="DT160" s="386"/>
      <c r="DU160" s="386"/>
      <c r="DV160" s="386"/>
      <c r="DW160" s="386"/>
      <c r="DX160" s="386"/>
      <c r="DY160" s="386"/>
      <c r="DZ160" s="386"/>
      <c r="EA160" s="386"/>
      <c r="EB160" s="386"/>
      <c r="EC160" s="386"/>
      <c r="ED160" s="386"/>
      <c r="EE160" s="386"/>
      <c r="EF160" s="386"/>
      <c r="EG160" s="386"/>
      <c r="EH160" s="386"/>
      <c r="EI160" s="386"/>
      <c r="EJ160" s="386"/>
      <c r="EK160" s="386"/>
      <c r="EL160" s="386"/>
      <c r="EM160" s="386"/>
      <c r="EN160" s="386"/>
      <c r="EO160" s="386"/>
      <c r="EP160" s="386"/>
      <c r="EQ160" s="386"/>
      <c r="ER160" s="386"/>
      <c r="ES160" s="386"/>
      <c r="ET160" s="386"/>
      <c r="EU160" s="386"/>
      <c r="EV160" s="386"/>
      <c r="EW160" s="386"/>
      <c r="EX160" s="386"/>
      <c r="EY160" s="386"/>
      <c r="EZ160" s="386"/>
      <c r="FA160" s="386"/>
      <c r="FB160" s="386"/>
      <c r="FC160" s="386"/>
      <c r="FD160" s="386"/>
      <c r="FE160" s="386"/>
      <c r="FF160" s="386"/>
      <c r="FG160" s="386"/>
      <c r="FH160" s="386"/>
      <c r="FI160" s="386"/>
      <c r="FJ160" s="386"/>
      <c r="FK160" s="386"/>
      <c r="FL160" s="386"/>
      <c r="FM160" s="386"/>
      <c r="FN160" s="386"/>
      <c r="FO160" s="386"/>
      <c r="FP160" s="386"/>
      <c r="FQ160" s="386"/>
      <c r="FR160" s="386"/>
      <c r="FS160" s="386"/>
      <c r="FT160" s="386"/>
      <c r="FU160" s="386"/>
      <c r="FV160" s="386"/>
      <c r="FW160" s="386"/>
      <c r="FX160" s="386"/>
      <c r="FY160" s="386"/>
      <c r="FZ160" s="386"/>
      <c r="GA160" s="386"/>
      <c r="GB160" s="386"/>
      <c r="GC160" s="386"/>
      <c r="GD160" s="386"/>
      <c r="GE160" s="386"/>
      <c r="GF160" s="386"/>
      <c r="GG160" s="386"/>
      <c r="GH160" s="386"/>
      <c r="GI160" s="386"/>
      <c r="GJ160" s="386"/>
      <c r="GK160" s="386"/>
      <c r="GL160" s="386"/>
    </row>
    <row r="161" spans="1:194" s="393" customFormat="1" ht="27.75" customHeight="1" hidden="1">
      <c r="A161" s="386"/>
      <c r="B161" s="465"/>
      <c r="C161" s="465"/>
      <c r="D161" s="465"/>
      <c r="E161" s="465"/>
      <c r="F161" s="465"/>
      <c r="G161" s="465"/>
      <c r="H161" s="465"/>
      <c r="I161" s="465"/>
      <c r="J161" s="465"/>
      <c r="K161" s="465"/>
      <c r="L161" s="465"/>
      <c r="M161" s="465"/>
      <c r="N161" s="386"/>
      <c r="O161" s="386"/>
      <c r="P161" s="386"/>
      <c r="Q161" s="386"/>
      <c r="R161" s="386"/>
      <c r="S161" s="386"/>
      <c r="T161" s="386"/>
      <c r="U161" s="386"/>
      <c r="V161" s="386"/>
      <c r="W161" s="386"/>
      <c r="X161" s="386"/>
      <c r="Y161" s="386"/>
      <c r="Z161" s="386"/>
      <c r="AA161" s="404">
        <v>76</v>
      </c>
      <c r="AB161" s="388">
        <v>50560</v>
      </c>
      <c r="AC161" s="433">
        <v>28500</v>
      </c>
      <c r="AD161" s="433">
        <v>29250</v>
      </c>
      <c r="AE161" s="388">
        <v>50560</v>
      </c>
      <c r="AF161" s="388">
        <v>51760</v>
      </c>
      <c r="AG161" s="388">
        <v>53060</v>
      </c>
      <c r="AH161" s="386"/>
      <c r="AI161" s="386"/>
      <c r="AJ161" s="386"/>
      <c r="AK161" s="386"/>
      <c r="AL161" s="386"/>
      <c r="AM161" s="386"/>
      <c r="AN161" s="386"/>
      <c r="AO161" s="386"/>
      <c r="AP161" s="386"/>
      <c r="AQ161" s="386"/>
      <c r="AR161" s="386"/>
      <c r="AS161" s="386"/>
      <c r="AT161" s="386"/>
      <c r="AU161" s="386"/>
      <c r="AV161" s="386"/>
      <c r="AW161" s="386"/>
      <c r="AX161" s="386"/>
      <c r="AY161" s="386"/>
      <c r="AZ161" s="386"/>
      <c r="BA161" s="386"/>
      <c r="BB161" s="386"/>
      <c r="BC161" s="386"/>
      <c r="BD161" s="386"/>
      <c r="BE161" s="386"/>
      <c r="BF161" s="386"/>
      <c r="BG161" s="386"/>
      <c r="BH161" s="386"/>
      <c r="BI161" s="386"/>
      <c r="BJ161" s="386"/>
      <c r="BK161" s="386"/>
      <c r="BL161" s="386"/>
      <c r="BM161" s="386"/>
      <c r="BN161" s="386"/>
      <c r="BO161" s="386"/>
      <c r="BP161" s="386"/>
      <c r="BQ161" s="386"/>
      <c r="BR161" s="386"/>
      <c r="BS161" s="386"/>
      <c r="BT161" s="386"/>
      <c r="BU161" s="386"/>
      <c r="BV161" s="386"/>
      <c r="BW161" s="386"/>
      <c r="BX161" s="386"/>
      <c r="BY161" s="386"/>
      <c r="BZ161" s="386"/>
      <c r="CA161" s="386"/>
      <c r="CB161" s="386"/>
      <c r="CC161" s="386"/>
      <c r="CD161" s="386"/>
      <c r="CE161" s="386"/>
      <c r="CF161" s="386"/>
      <c r="CG161" s="386"/>
      <c r="CH161" s="386"/>
      <c r="CI161" s="386"/>
      <c r="CJ161" s="386"/>
      <c r="CK161" s="386"/>
      <c r="CL161" s="386"/>
      <c r="CM161" s="386"/>
      <c r="CN161" s="386"/>
      <c r="CO161" s="386"/>
      <c r="CP161" s="386"/>
      <c r="CQ161" s="386"/>
      <c r="CR161" s="386"/>
      <c r="CS161" s="386"/>
      <c r="CT161" s="386"/>
      <c r="CU161" s="386"/>
      <c r="CV161" s="386"/>
      <c r="CW161" s="386"/>
      <c r="CX161" s="386"/>
      <c r="CY161" s="386"/>
      <c r="CZ161" s="386"/>
      <c r="DA161" s="386"/>
      <c r="DB161" s="386"/>
      <c r="DC161" s="386"/>
      <c r="DD161" s="386"/>
      <c r="DE161" s="386"/>
      <c r="DF161" s="386"/>
      <c r="DG161" s="386"/>
      <c r="DH161" s="386"/>
      <c r="DI161" s="386"/>
      <c r="DJ161" s="386"/>
      <c r="DK161" s="386"/>
      <c r="DL161" s="386"/>
      <c r="DM161" s="386"/>
      <c r="DN161" s="386"/>
      <c r="DO161" s="386"/>
      <c r="DP161" s="386"/>
      <c r="DQ161" s="386"/>
      <c r="DR161" s="386"/>
      <c r="DS161" s="386"/>
      <c r="DT161" s="386"/>
      <c r="DU161" s="386"/>
      <c r="DV161" s="386"/>
      <c r="DW161" s="386"/>
      <c r="DX161" s="386"/>
      <c r="DY161" s="386"/>
      <c r="DZ161" s="386"/>
      <c r="EA161" s="386"/>
      <c r="EB161" s="386"/>
      <c r="EC161" s="386"/>
      <c r="ED161" s="386"/>
      <c r="EE161" s="386"/>
      <c r="EF161" s="386"/>
      <c r="EG161" s="386"/>
      <c r="EH161" s="386"/>
      <c r="EI161" s="386"/>
      <c r="EJ161" s="386"/>
      <c r="EK161" s="386"/>
      <c r="EL161" s="386"/>
      <c r="EM161" s="386"/>
      <c r="EN161" s="386"/>
      <c r="EO161" s="386"/>
      <c r="EP161" s="386"/>
      <c r="EQ161" s="386"/>
      <c r="ER161" s="386"/>
      <c r="ES161" s="386"/>
      <c r="ET161" s="386"/>
      <c r="EU161" s="386"/>
      <c r="EV161" s="386"/>
      <c r="EW161" s="386"/>
      <c r="EX161" s="386"/>
      <c r="EY161" s="386"/>
      <c r="EZ161" s="386"/>
      <c r="FA161" s="386"/>
      <c r="FB161" s="386"/>
      <c r="FC161" s="386"/>
      <c r="FD161" s="386"/>
      <c r="FE161" s="386"/>
      <c r="FF161" s="386"/>
      <c r="FG161" s="386"/>
      <c r="FH161" s="386"/>
      <c r="FI161" s="386"/>
      <c r="FJ161" s="386"/>
      <c r="FK161" s="386"/>
      <c r="FL161" s="386"/>
      <c r="FM161" s="386"/>
      <c r="FN161" s="386"/>
      <c r="FO161" s="386"/>
      <c r="FP161" s="386"/>
      <c r="FQ161" s="386"/>
      <c r="FR161" s="386"/>
      <c r="FS161" s="386"/>
      <c r="FT161" s="386"/>
      <c r="FU161" s="386"/>
      <c r="FV161" s="386"/>
      <c r="FW161" s="386"/>
      <c r="FX161" s="386"/>
      <c r="FY161" s="386"/>
      <c r="FZ161" s="386"/>
      <c r="GA161" s="386"/>
      <c r="GB161" s="386"/>
      <c r="GC161" s="386"/>
      <c r="GD161" s="386"/>
      <c r="GE161" s="386"/>
      <c r="GF161" s="386"/>
      <c r="GG161" s="386"/>
      <c r="GH161" s="386"/>
      <c r="GI161" s="386"/>
      <c r="GJ161" s="386"/>
      <c r="GK161" s="386"/>
      <c r="GL161" s="386"/>
    </row>
    <row r="162" spans="1:194" s="393" customFormat="1" ht="27.75" customHeight="1" hidden="1">
      <c r="A162" s="386"/>
      <c r="B162" s="465"/>
      <c r="C162" s="465"/>
      <c r="D162" s="465"/>
      <c r="E162" s="465"/>
      <c r="F162" s="465"/>
      <c r="G162" s="465"/>
      <c r="H162" s="465"/>
      <c r="I162" s="465"/>
      <c r="J162" s="465"/>
      <c r="K162" s="465"/>
      <c r="L162" s="465"/>
      <c r="M162" s="465"/>
      <c r="N162" s="386"/>
      <c r="O162" s="386"/>
      <c r="P162" s="386"/>
      <c r="Q162" s="386"/>
      <c r="R162" s="386"/>
      <c r="S162" s="386"/>
      <c r="T162" s="386"/>
      <c r="U162" s="386"/>
      <c r="V162" s="386"/>
      <c r="W162" s="386"/>
      <c r="X162" s="386"/>
      <c r="Y162" s="386"/>
      <c r="Z162" s="386"/>
      <c r="AA162" s="404">
        <v>77</v>
      </c>
      <c r="AB162" s="388">
        <v>51760</v>
      </c>
      <c r="AC162" s="433">
        <v>29250</v>
      </c>
      <c r="AD162" s="433">
        <v>30000</v>
      </c>
      <c r="AE162" s="388">
        <v>51760</v>
      </c>
      <c r="AF162" s="388">
        <v>53060</v>
      </c>
      <c r="AG162" s="388">
        <v>54360</v>
      </c>
      <c r="AH162" s="386"/>
      <c r="AI162" s="386"/>
      <c r="AJ162" s="386"/>
      <c r="AK162" s="386"/>
      <c r="AL162" s="386"/>
      <c r="AM162" s="386"/>
      <c r="AN162" s="386"/>
      <c r="AO162" s="386"/>
      <c r="AP162" s="386"/>
      <c r="AQ162" s="386"/>
      <c r="AR162" s="386"/>
      <c r="AS162" s="386"/>
      <c r="AT162" s="386"/>
      <c r="AU162" s="386"/>
      <c r="AV162" s="386"/>
      <c r="AW162" s="386"/>
      <c r="AX162" s="386"/>
      <c r="AY162" s="386"/>
      <c r="AZ162" s="386"/>
      <c r="BA162" s="386"/>
      <c r="BB162" s="386"/>
      <c r="BC162" s="386"/>
      <c r="BD162" s="386"/>
      <c r="BE162" s="386"/>
      <c r="BF162" s="386"/>
      <c r="BG162" s="386"/>
      <c r="BH162" s="386"/>
      <c r="BI162" s="386"/>
      <c r="BJ162" s="386"/>
      <c r="BK162" s="386"/>
      <c r="BL162" s="386"/>
      <c r="BM162" s="386"/>
      <c r="BN162" s="386"/>
      <c r="BO162" s="386"/>
      <c r="BP162" s="386"/>
      <c r="BQ162" s="386"/>
      <c r="BR162" s="386"/>
      <c r="BS162" s="386"/>
      <c r="BT162" s="386"/>
      <c r="BU162" s="386"/>
      <c r="BV162" s="386"/>
      <c r="BW162" s="386"/>
      <c r="BX162" s="386"/>
      <c r="BY162" s="386"/>
      <c r="BZ162" s="386"/>
      <c r="CA162" s="386"/>
      <c r="CB162" s="386"/>
      <c r="CC162" s="386"/>
      <c r="CD162" s="386"/>
      <c r="CE162" s="386"/>
      <c r="CF162" s="386"/>
      <c r="CG162" s="386"/>
      <c r="CH162" s="386"/>
      <c r="CI162" s="386"/>
      <c r="CJ162" s="386"/>
      <c r="CK162" s="386"/>
      <c r="CL162" s="386"/>
      <c r="CM162" s="386"/>
      <c r="CN162" s="386"/>
      <c r="CO162" s="386"/>
      <c r="CP162" s="386"/>
      <c r="CQ162" s="386"/>
      <c r="CR162" s="386"/>
      <c r="CS162" s="386"/>
      <c r="CT162" s="386"/>
      <c r="CU162" s="386"/>
      <c r="CV162" s="386"/>
      <c r="CW162" s="386"/>
      <c r="CX162" s="386"/>
      <c r="CY162" s="386"/>
      <c r="CZ162" s="386"/>
      <c r="DA162" s="386"/>
      <c r="DB162" s="386"/>
      <c r="DC162" s="386"/>
      <c r="DD162" s="386"/>
      <c r="DE162" s="386"/>
      <c r="DF162" s="386"/>
      <c r="DG162" s="386"/>
      <c r="DH162" s="386"/>
      <c r="DI162" s="386"/>
      <c r="DJ162" s="386"/>
      <c r="DK162" s="386"/>
      <c r="DL162" s="386"/>
      <c r="DM162" s="386"/>
      <c r="DN162" s="386"/>
      <c r="DO162" s="386"/>
      <c r="DP162" s="386"/>
      <c r="DQ162" s="386"/>
      <c r="DR162" s="386"/>
      <c r="DS162" s="386"/>
      <c r="DT162" s="386"/>
      <c r="DU162" s="386"/>
      <c r="DV162" s="386"/>
      <c r="DW162" s="386"/>
      <c r="DX162" s="386"/>
      <c r="DY162" s="386"/>
      <c r="DZ162" s="386"/>
      <c r="EA162" s="386"/>
      <c r="EB162" s="386"/>
      <c r="EC162" s="386"/>
      <c r="ED162" s="386"/>
      <c r="EE162" s="386"/>
      <c r="EF162" s="386"/>
      <c r="EG162" s="386"/>
      <c r="EH162" s="386"/>
      <c r="EI162" s="386"/>
      <c r="EJ162" s="386"/>
      <c r="EK162" s="386"/>
      <c r="EL162" s="386"/>
      <c r="EM162" s="386"/>
      <c r="EN162" s="386"/>
      <c r="EO162" s="386"/>
      <c r="EP162" s="386"/>
      <c r="EQ162" s="386"/>
      <c r="ER162" s="386"/>
      <c r="ES162" s="386"/>
      <c r="ET162" s="386"/>
      <c r="EU162" s="386"/>
      <c r="EV162" s="386"/>
      <c r="EW162" s="386"/>
      <c r="EX162" s="386"/>
      <c r="EY162" s="386"/>
      <c r="EZ162" s="386"/>
      <c r="FA162" s="386"/>
      <c r="FB162" s="386"/>
      <c r="FC162" s="386"/>
      <c r="FD162" s="386"/>
      <c r="FE162" s="386"/>
      <c r="FF162" s="386"/>
      <c r="FG162" s="386"/>
      <c r="FH162" s="386"/>
      <c r="FI162" s="386"/>
      <c r="FJ162" s="386"/>
      <c r="FK162" s="386"/>
      <c r="FL162" s="386"/>
      <c r="FM162" s="386"/>
      <c r="FN162" s="386"/>
      <c r="FO162" s="386"/>
      <c r="FP162" s="386"/>
      <c r="FQ162" s="386"/>
      <c r="FR162" s="386"/>
      <c r="FS162" s="386"/>
      <c r="FT162" s="386"/>
      <c r="FU162" s="386"/>
      <c r="FV162" s="386"/>
      <c r="FW162" s="386"/>
      <c r="FX162" s="386"/>
      <c r="FY162" s="386"/>
      <c r="FZ162" s="386"/>
      <c r="GA162" s="386"/>
      <c r="GB162" s="386"/>
      <c r="GC162" s="386"/>
      <c r="GD162" s="386"/>
      <c r="GE162" s="386"/>
      <c r="GF162" s="386"/>
      <c r="GG162" s="386"/>
      <c r="GH162" s="386"/>
      <c r="GI162" s="386"/>
      <c r="GJ162" s="386"/>
      <c r="GK162" s="386"/>
      <c r="GL162" s="386"/>
    </row>
    <row r="163" spans="1:194" s="393" customFormat="1" ht="27.75" customHeight="1" hidden="1">
      <c r="A163" s="386"/>
      <c r="B163" s="465"/>
      <c r="C163" s="465"/>
      <c r="D163" s="465"/>
      <c r="E163" s="465"/>
      <c r="F163" s="465"/>
      <c r="G163" s="465"/>
      <c r="H163" s="465"/>
      <c r="I163" s="465"/>
      <c r="J163" s="465"/>
      <c r="K163" s="465"/>
      <c r="L163" s="465"/>
      <c r="M163" s="465"/>
      <c r="N163" s="386"/>
      <c r="O163" s="386"/>
      <c r="P163" s="386"/>
      <c r="Q163" s="386"/>
      <c r="R163" s="386"/>
      <c r="S163" s="386"/>
      <c r="T163" s="386"/>
      <c r="U163" s="386"/>
      <c r="V163" s="386"/>
      <c r="W163" s="386"/>
      <c r="X163" s="386"/>
      <c r="Y163" s="386"/>
      <c r="Z163" s="386"/>
      <c r="AA163" s="404">
        <v>78</v>
      </c>
      <c r="AB163" s="388">
        <v>53060</v>
      </c>
      <c r="AC163" s="433">
        <v>30000</v>
      </c>
      <c r="AD163" s="433">
        <v>30765</v>
      </c>
      <c r="AE163" s="388">
        <v>53060</v>
      </c>
      <c r="AF163" s="388">
        <v>54360</v>
      </c>
      <c r="AG163" s="388">
        <v>55660</v>
      </c>
      <c r="AH163" s="386"/>
      <c r="AI163" s="386"/>
      <c r="AJ163" s="386"/>
      <c r="AK163" s="386"/>
      <c r="AL163" s="386"/>
      <c r="AM163" s="386"/>
      <c r="AN163" s="386"/>
      <c r="AO163" s="386"/>
      <c r="AP163" s="386"/>
      <c r="AQ163" s="386"/>
      <c r="AR163" s="386"/>
      <c r="AS163" s="386"/>
      <c r="AT163" s="386"/>
      <c r="AU163" s="386"/>
      <c r="AV163" s="386"/>
      <c r="AW163" s="386"/>
      <c r="AX163" s="386"/>
      <c r="AY163" s="386"/>
      <c r="AZ163" s="386"/>
      <c r="BA163" s="386"/>
      <c r="BB163" s="386"/>
      <c r="BC163" s="386"/>
      <c r="BD163" s="386"/>
      <c r="BE163" s="386"/>
      <c r="BF163" s="386"/>
      <c r="BG163" s="386"/>
      <c r="BH163" s="386"/>
      <c r="BI163" s="386"/>
      <c r="BJ163" s="386"/>
      <c r="BK163" s="386"/>
      <c r="BL163" s="386"/>
      <c r="BM163" s="386"/>
      <c r="BN163" s="386"/>
      <c r="BO163" s="386"/>
      <c r="BP163" s="386"/>
      <c r="BQ163" s="386"/>
      <c r="BR163" s="386"/>
      <c r="BS163" s="386"/>
      <c r="BT163" s="386"/>
      <c r="BU163" s="386"/>
      <c r="BV163" s="386"/>
      <c r="BW163" s="386"/>
      <c r="BX163" s="386"/>
      <c r="BY163" s="386"/>
      <c r="BZ163" s="386"/>
      <c r="CA163" s="386"/>
      <c r="CB163" s="386"/>
      <c r="CC163" s="386"/>
      <c r="CD163" s="386"/>
      <c r="CE163" s="386"/>
      <c r="CF163" s="386"/>
      <c r="CG163" s="386"/>
      <c r="CH163" s="386"/>
      <c r="CI163" s="386"/>
      <c r="CJ163" s="386"/>
      <c r="CK163" s="386"/>
      <c r="CL163" s="386"/>
      <c r="CM163" s="386"/>
      <c r="CN163" s="386"/>
      <c r="CO163" s="386"/>
      <c r="CP163" s="386"/>
      <c r="CQ163" s="386"/>
      <c r="CR163" s="386"/>
      <c r="CS163" s="386"/>
      <c r="CT163" s="386"/>
      <c r="CU163" s="386"/>
      <c r="CV163" s="386"/>
      <c r="CW163" s="386"/>
      <c r="CX163" s="386"/>
      <c r="CY163" s="386"/>
      <c r="CZ163" s="386"/>
      <c r="DA163" s="386"/>
      <c r="DB163" s="386"/>
      <c r="DC163" s="386"/>
      <c r="DD163" s="386"/>
      <c r="DE163" s="386"/>
      <c r="DF163" s="386"/>
      <c r="DG163" s="386"/>
      <c r="DH163" s="386"/>
      <c r="DI163" s="386"/>
      <c r="DJ163" s="386"/>
      <c r="DK163" s="386"/>
      <c r="DL163" s="386"/>
      <c r="DM163" s="386"/>
      <c r="DN163" s="386"/>
      <c r="DO163" s="386"/>
      <c r="DP163" s="386"/>
      <c r="DQ163" s="386"/>
      <c r="DR163" s="386"/>
      <c r="DS163" s="386"/>
      <c r="DT163" s="386"/>
      <c r="DU163" s="386"/>
      <c r="DV163" s="386"/>
      <c r="DW163" s="386"/>
      <c r="DX163" s="386"/>
      <c r="DY163" s="386"/>
      <c r="DZ163" s="386"/>
      <c r="EA163" s="386"/>
      <c r="EB163" s="386"/>
      <c r="EC163" s="386"/>
      <c r="ED163" s="386"/>
      <c r="EE163" s="386"/>
      <c r="EF163" s="386"/>
      <c r="EG163" s="386"/>
      <c r="EH163" s="386"/>
      <c r="EI163" s="386"/>
      <c r="EJ163" s="386"/>
      <c r="EK163" s="386"/>
      <c r="EL163" s="386"/>
      <c r="EM163" s="386"/>
      <c r="EN163" s="386"/>
      <c r="EO163" s="386"/>
      <c r="EP163" s="386"/>
      <c r="EQ163" s="386"/>
      <c r="ER163" s="386"/>
      <c r="ES163" s="386"/>
      <c r="ET163" s="386"/>
      <c r="EU163" s="386"/>
      <c r="EV163" s="386"/>
      <c r="EW163" s="386"/>
      <c r="EX163" s="386"/>
      <c r="EY163" s="386"/>
      <c r="EZ163" s="386"/>
      <c r="FA163" s="386"/>
      <c r="FB163" s="386"/>
      <c r="FC163" s="386"/>
      <c r="FD163" s="386"/>
      <c r="FE163" s="386"/>
      <c r="FF163" s="386"/>
      <c r="FG163" s="386"/>
      <c r="FH163" s="386"/>
      <c r="FI163" s="386"/>
      <c r="FJ163" s="386"/>
      <c r="FK163" s="386"/>
      <c r="FL163" s="386"/>
      <c r="FM163" s="386"/>
      <c r="FN163" s="386"/>
      <c r="FO163" s="386"/>
      <c r="FP163" s="386"/>
      <c r="FQ163" s="386"/>
      <c r="FR163" s="386"/>
      <c r="FS163" s="386"/>
      <c r="FT163" s="386"/>
      <c r="FU163" s="386"/>
      <c r="FV163" s="386"/>
      <c r="FW163" s="386"/>
      <c r="FX163" s="386"/>
      <c r="FY163" s="386"/>
      <c r="FZ163" s="386"/>
      <c r="GA163" s="386"/>
      <c r="GB163" s="386"/>
      <c r="GC163" s="386"/>
      <c r="GD163" s="386"/>
      <c r="GE163" s="386"/>
      <c r="GF163" s="386"/>
      <c r="GG163" s="386"/>
      <c r="GH163" s="386"/>
      <c r="GI163" s="386"/>
      <c r="GJ163" s="386"/>
      <c r="GK163" s="386"/>
      <c r="GL163" s="386"/>
    </row>
    <row r="164" spans="1:194" s="393" customFormat="1" ht="27.75" customHeight="1" hidden="1">
      <c r="A164" s="386"/>
      <c r="B164" s="465"/>
      <c r="C164" s="465"/>
      <c r="D164" s="465"/>
      <c r="E164" s="465"/>
      <c r="F164" s="465"/>
      <c r="G164" s="465"/>
      <c r="H164" s="465"/>
      <c r="I164" s="465"/>
      <c r="J164" s="465"/>
      <c r="K164" s="465"/>
      <c r="L164" s="465"/>
      <c r="M164" s="465"/>
      <c r="N164" s="386"/>
      <c r="O164" s="386"/>
      <c r="P164" s="386"/>
      <c r="Q164" s="386"/>
      <c r="R164" s="386"/>
      <c r="S164" s="386"/>
      <c r="T164" s="386"/>
      <c r="U164" s="386"/>
      <c r="V164" s="386"/>
      <c r="W164" s="386"/>
      <c r="X164" s="386"/>
      <c r="Y164" s="386"/>
      <c r="Z164" s="386"/>
      <c r="AA164" s="404">
        <v>79</v>
      </c>
      <c r="AB164" s="388">
        <v>54360</v>
      </c>
      <c r="AC164" s="433">
        <v>30765</v>
      </c>
      <c r="AD164" s="386"/>
      <c r="AE164" s="388">
        <v>54360</v>
      </c>
      <c r="AF164" s="388">
        <v>55660</v>
      </c>
      <c r="AG164" s="388">
        <v>55660</v>
      </c>
      <c r="AH164" s="386"/>
      <c r="AI164" s="386"/>
      <c r="AJ164" s="386"/>
      <c r="AK164" s="386"/>
      <c r="AL164" s="386"/>
      <c r="AM164" s="386"/>
      <c r="AN164" s="386"/>
      <c r="AO164" s="386"/>
      <c r="AP164" s="386"/>
      <c r="AQ164" s="386"/>
      <c r="AR164" s="386"/>
      <c r="AS164" s="386"/>
      <c r="AT164" s="386"/>
      <c r="AU164" s="386"/>
      <c r="AV164" s="386"/>
      <c r="AW164" s="386"/>
      <c r="AX164" s="386"/>
      <c r="AY164" s="386"/>
      <c r="AZ164" s="386"/>
      <c r="BA164" s="386"/>
      <c r="BB164" s="386"/>
      <c r="BC164" s="386"/>
      <c r="BD164" s="386"/>
      <c r="BE164" s="386"/>
      <c r="BF164" s="386"/>
      <c r="BG164" s="386"/>
      <c r="BH164" s="386"/>
      <c r="BI164" s="386"/>
      <c r="BJ164" s="386"/>
      <c r="BK164" s="386"/>
      <c r="BL164" s="386"/>
      <c r="BM164" s="386"/>
      <c r="BN164" s="386"/>
      <c r="BO164" s="386"/>
      <c r="BP164" s="386"/>
      <c r="BQ164" s="386"/>
      <c r="BR164" s="386"/>
      <c r="BS164" s="386"/>
      <c r="BT164" s="386"/>
      <c r="BU164" s="386"/>
      <c r="BV164" s="386"/>
      <c r="BW164" s="386"/>
      <c r="BX164" s="386"/>
      <c r="BY164" s="386"/>
      <c r="BZ164" s="386"/>
      <c r="CA164" s="386"/>
      <c r="CB164" s="386"/>
      <c r="CC164" s="386"/>
      <c r="CD164" s="386"/>
      <c r="CE164" s="386"/>
      <c r="CF164" s="386"/>
      <c r="CG164" s="386"/>
      <c r="CH164" s="386"/>
      <c r="CI164" s="386"/>
      <c r="CJ164" s="386"/>
      <c r="CK164" s="386"/>
      <c r="CL164" s="386"/>
      <c r="CM164" s="386"/>
      <c r="CN164" s="386"/>
      <c r="CO164" s="386"/>
      <c r="CP164" s="386"/>
      <c r="CQ164" s="386"/>
      <c r="CR164" s="386"/>
      <c r="CS164" s="386"/>
      <c r="CT164" s="386"/>
      <c r="CU164" s="386"/>
      <c r="CV164" s="386"/>
      <c r="CW164" s="386"/>
      <c r="CX164" s="386"/>
      <c r="CY164" s="386"/>
      <c r="CZ164" s="386"/>
      <c r="DA164" s="386"/>
      <c r="DB164" s="386"/>
      <c r="DC164" s="386"/>
      <c r="DD164" s="386"/>
      <c r="DE164" s="386"/>
      <c r="DF164" s="386"/>
      <c r="DG164" s="386"/>
      <c r="DH164" s="386"/>
      <c r="DI164" s="386"/>
      <c r="DJ164" s="386"/>
      <c r="DK164" s="386"/>
      <c r="DL164" s="386"/>
      <c r="DM164" s="386"/>
      <c r="DN164" s="386"/>
      <c r="DO164" s="386"/>
      <c r="DP164" s="386"/>
      <c r="DQ164" s="386"/>
      <c r="DR164" s="386"/>
      <c r="DS164" s="386"/>
      <c r="DT164" s="386"/>
      <c r="DU164" s="386"/>
      <c r="DV164" s="386"/>
      <c r="DW164" s="386"/>
      <c r="DX164" s="386"/>
      <c r="DY164" s="386"/>
      <c r="DZ164" s="386"/>
      <c r="EA164" s="386"/>
      <c r="EB164" s="386"/>
      <c r="EC164" s="386"/>
      <c r="ED164" s="386"/>
      <c r="EE164" s="386"/>
      <c r="EF164" s="386"/>
      <c r="EG164" s="386"/>
      <c r="EH164" s="386"/>
      <c r="EI164" s="386"/>
      <c r="EJ164" s="386"/>
      <c r="EK164" s="386"/>
      <c r="EL164" s="386"/>
      <c r="EM164" s="386"/>
      <c r="EN164" s="386"/>
      <c r="EO164" s="386"/>
      <c r="EP164" s="386"/>
      <c r="EQ164" s="386"/>
      <c r="ER164" s="386"/>
      <c r="ES164" s="386"/>
      <c r="ET164" s="386"/>
      <c r="EU164" s="386"/>
      <c r="EV164" s="386"/>
      <c r="EW164" s="386"/>
      <c r="EX164" s="386"/>
      <c r="EY164" s="386"/>
      <c r="EZ164" s="386"/>
      <c r="FA164" s="386"/>
      <c r="FB164" s="386"/>
      <c r="FC164" s="386"/>
      <c r="FD164" s="386"/>
      <c r="FE164" s="386"/>
      <c r="FF164" s="386"/>
      <c r="FG164" s="386"/>
      <c r="FH164" s="386"/>
      <c r="FI164" s="386"/>
      <c r="FJ164" s="386"/>
      <c r="FK164" s="386"/>
      <c r="FL164" s="386"/>
      <c r="FM164" s="386"/>
      <c r="FN164" s="386"/>
      <c r="FO164" s="386"/>
      <c r="FP164" s="386"/>
      <c r="FQ164" s="386"/>
      <c r="FR164" s="386"/>
      <c r="FS164" s="386"/>
      <c r="FT164" s="386"/>
      <c r="FU164" s="386"/>
      <c r="FV164" s="386"/>
      <c r="FW164" s="386"/>
      <c r="FX164" s="386"/>
      <c r="FY164" s="386"/>
      <c r="FZ164" s="386"/>
      <c r="GA164" s="386"/>
      <c r="GB164" s="386"/>
      <c r="GC164" s="386"/>
      <c r="GD164" s="386"/>
      <c r="GE164" s="386"/>
      <c r="GF164" s="386"/>
      <c r="GG164" s="386"/>
      <c r="GH164" s="386"/>
      <c r="GI164" s="386"/>
      <c r="GJ164" s="386"/>
      <c r="GK164" s="386"/>
      <c r="GL164" s="386"/>
    </row>
    <row r="165" spans="1:194" s="393" customFormat="1" ht="27.75" customHeight="1" hidden="1">
      <c r="A165" s="386"/>
      <c r="B165" s="465"/>
      <c r="C165" s="465"/>
      <c r="D165" s="465"/>
      <c r="E165" s="465"/>
      <c r="F165" s="465"/>
      <c r="G165" s="465"/>
      <c r="H165" s="465"/>
      <c r="I165" s="465"/>
      <c r="J165" s="465"/>
      <c r="K165" s="465"/>
      <c r="L165" s="465"/>
      <c r="M165" s="465"/>
      <c r="N165" s="386"/>
      <c r="O165" s="386"/>
      <c r="P165" s="386"/>
      <c r="Q165" s="386"/>
      <c r="R165" s="386"/>
      <c r="S165" s="386"/>
      <c r="T165" s="386"/>
      <c r="U165" s="386"/>
      <c r="V165" s="386"/>
      <c r="W165" s="386"/>
      <c r="X165" s="386"/>
      <c r="Y165" s="386"/>
      <c r="Z165" s="386"/>
      <c r="AA165" s="404">
        <v>80</v>
      </c>
      <c r="AB165" s="388">
        <v>55660</v>
      </c>
      <c r="AC165" s="405"/>
      <c r="AD165" s="386"/>
      <c r="AE165" s="388">
        <v>55660</v>
      </c>
      <c r="AF165" s="388">
        <v>55660</v>
      </c>
      <c r="AG165" s="388">
        <v>55660</v>
      </c>
      <c r="AH165" s="386"/>
      <c r="AI165" s="386"/>
      <c r="AJ165" s="386"/>
      <c r="AK165" s="386"/>
      <c r="AL165" s="386"/>
      <c r="AM165" s="386"/>
      <c r="AN165" s="386"/>
      <c r="AO165" s="386"/>
      <c r="AP165" s="386"/>
      <c r="AQ165" s="386"/>
      <c r="AR165" s="386"/>
      <c r="AS165" s="386"/>
      <c r="AT165" s="386"/>
      <c r="AU165" s="386"/>
      <c r="AV165" s="386"/>
      <c r="AW165" s="386"/>
      <c r="AX165" s="386"/>
      <c r="AY165" s="386"/>
      <c r="AZ165" s="386"/>
      <c r="BA165" s="386"/>
      <c r="BB165" s="386"/>
      <c r="BC165" s="386"/>
      <c r="BD165" s="386"/>
      <c r="BE165" s="386"/>
      <c r="BF165" s="386"/>
      <c r="BG165" s="386"/>
      <c r="BH165" s="386"/>
      <c r="BI165" s="386"/>
      <c r="BJ165" s="386"/>
      <c r="BK165" s="386"/>
      <c r="BL165" s="386"/>
      <c r="BM165" s="386"/>
      <c r="BN165" s="386"/>
      <c r="BO165" s="386"/>
      <c r="BP165" s="386"/>
      <c r="BQ165" s="386"/>
      <c r="BR165" s="386"/>
      <c r="BS165" s="386"/>
      <c r="BT165" s="386"/>
      <c r="BU165" s="386"/>
      <c r="BV165" s="386"/>
      <c r="BW165" s="386"/>
      <c r="BX165" s="386"/>
      <c r="BY165" s="386"/>
      <c r="BZ165" s="386"/>
      <c r="CA165" s="386"/>
      <c r="CB165" s="386"/>
      <c r="CC165" s="386"/>
      <c r="CD165" s="386"/>
      <c r="CE165" s="386"/>
      <c r="CF165" s="386"/>
      <c r="CG165" s="386"/>
      <c r="CH165" s="386"/>
      <c r="CI165" s="386"/>
      <c r="CJ165" s="386"/>
      <c r="CK165" s="386"/>
      <c r="CL165" s="386"/>
      <c r="CM165" s="386"/>
      <c r="CN165" s="386"/>
      <c r="CO165" s="386"/>
      <c r="CP165" s="386"/>
      <c r="CQ165" s="386"/>
      <c r="CR165" s="386"/>
      <c r="CS165" s="386"/>
      <c r="CT165" s="386"/>
      <c r="CU165" s="386"/>
      <c r="CV165" s="386"/>
      <c r="CW165" s="386"/>
      <c r="CX165" s="386"/>
      <c r="CY165" s="386"/>
      <c r="CZ165" s="386"/>
      <c r="DA165" s="386"/>
      <c r="DB165" s="386"/>
      <c r="DC165" s="386"/>
      <c r="DD165" s="386"/>
      <c r="DE165" s="386"/>
      <c r="DF165" s="386"/>
      <c r="DG165" s="386"/>
      <c r="DH165" s="386"/>
      <c r="DI165" s="386"/>
      <c r="DJ165" s="386"/>
      <c r="DK165" s="386"/>
      <c r="DL165" s="386"/>
      <c r="DM165" s="386"/>
      <c r="DN165" s="386"/>
      <c r="DO165" s="386"/>
      <c r="DP165" s="386"/>
      <c r="DQ165" s="386"/>
      <c r="DR165" s="386"/>
      <c r="DS165" s="386"/>
      <c r="DT165" s="386"/>
      <c r="DU165" s="386"/>
      <c r="DV165" s="386"/>
      <c r="DW165" s="386"/>
      <c r="DX165" s="386"/>
      <c r="DY165" s="386"/>
      <c r="DZ165" s="386"/>
      <c r="EA165" s="386"/>
      <c r="EB165" s="386"/>
      <c r="EC165" s="386"/>
      <c r="ED165" s="386"/>
      <c r="EE165" s="386"/>
      <c r="EF165" s="386"/>
      <c r="EG165" s="386"/>
      <c r="EH165" s="386"/>
      <c r="EI165" s="386"/>
      <c r="EJ165" s="386"/>
      <c r="EK165" s="386"/>
      <c r="EL165" s="386"/>
      <c r="EM165" s="386"/>
      <c r="EN165" s="386"/>
      <c r="EO165" s="386"/>
      <c r="EP165" s="386"/>
      <c r="EQ165" s="386"/>
      <c r="ER165" s="386"/>
      <c r="ES165" s="386"/>
      <c r="ET165" s="386"/>
      <c r="EU165" s="386"/>
      <c r="EV165" s="386"/>
      <c r="EW165" s="386"/>
      <c r="EX165" s="386"/>
      <c r="EY165" s="386"/>
      <c r="EZ165" s="386"/>
      <c r="FA165" s="386"/>
      <c r="FB165" s="386"/>
      <c r="FC165" s="386"/>
      <c r="FD165" s="386"/>
      <c r="FE165" s="386"/>
      <c r="FF165" s="386"/>
      <c r="FG165" s="386"/>
      <c r="FH165" s="386"/>
      <c r="FI165" s="386"/>
      <c r="FJ165" s="386"/>
      <c r="FK165" s="386"/>
      <c r="FL165" s="386"/>
      <c r="FM165" s="386"/>
      <c r="FN165" s="386"/>
      <c r="FO165" s="386"/>
      <c r="FP165" s="386"/>
      <c r="FQ165" s="386"/>
      <c r="FR165" s="386"/>
      <c r="FS165" s="386"/>
      <c r="FT165" s="386"/>
      <c r="FU165" s="386"/>
      <c r="FV165" s="386"/>
      <c r="FW165" s="386"/>
      <c r="FX165" s="386"/>
      <c r="FY165" s="386"/>
      <c r="FZ165" s="386"/>
      <c r="GA165" s="386"/>
      <c r="GB165" s="386"/>
      <c r="GC165" s="386"/>
      <c r="GD165" s="386"/>
      <c r="GE165" s="386"/>
      <c r="GF165" s="386"/>
      <c r="GG165" s="386"/>
      <c r="GH165" s="386"/>
      <c r="GI165" s="386"/>
      <c r="GJ165" s="386"/>
      <c r="GK165" s="386"/>
      <c r="GL165" s="386"/>
    </row>
    <row r="166" spans="1:194" s="393" customFormat="1" ht="27.75" customHeight="1" hidden="1">
      <c r="A166" s="386"/>
      <c r="B166" s="465"/>
      <c r="C166" s="465"/>
      <c r="D166" s="465"/>
      <c r="E166" s="465"/>
      <c r="F166" s="465"/>
      <c r="G166" s="465"/>
      <c r="H166" s="465"/>
      <c r="I166" s="465"/>
      <c r="J166" s="465"/>
      <c r="K166" s="465"/>
      <c r="L166" s="465"/>
      <c r="M166" s="465"/>
      <c r="N166" s="386"/>
      <c r="O166" s="386"/>
      <c r="P166" s="386"/>
      <c r="Q166" s="386"/>
      <c r="R166" s="386"/>
      <c r="S166" s="386"/>
      <c r="T166" s="386"/>
      <c r="U166" s="386"/>
      <c r="V166" s="386"/>
      <c r="W166" s="386"/>
      <c r="X166" s="386"/>
      <c r="Y166" s="386"/>
      <c r="Z166" s="386"/>
      <c r="AA166" s="404"/>
      <c r="AB166" s="388"/>
      <c r="AC166" s="405"/>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6"/>
      <c r="BJ166" s="386"/>
      <c r="BK166" s="386"/>
      <c r="BL166" s="386"/>
      <c r="BM166" s="386"/>
      <c r="BN166" s="386"/>
      <c r="BO166" s="386"/>
      <c r="BP166" s="386"/>
      <c r="BQ166" s="386"/>
      <c r="BR166" s="386"/>
      <c r="BS166" s="386"/>
      <c r="BT166" s="386"/>
      <c r="BU166" s="386"/>
      <c r="BV166" s="386"/>
      <c r="BW166" s="386"/>
      <c r="BX166" s="386"/>
      <c r="BY166" s="386"/>
      <c r="BZ166" s="386"/>
      <c r="CA166" s="386"/>
      <c r="CB166" s="386"/>
      <c r="CC166" s="386"/>
      <c r="CD166" s="386"/>
      <c r="CE166" s="386"/>
      <c r="CF166" s="386"/>
      <c r="CG166" s="386"/>
      <c r="CH166" s="386"/>
      <c r="CI166" s="386"/>
      <c r="CJ166" s="386"/>
      <c r="CK166" s="386"/>
      <c r="CL166" s="386"/>
      <c r="CM166" s="386"/>
      <c r="CN166" s="386"/>
      <c r="CO166" s="386"/>
      <c r="CP166" s="386"/>
      <c r="CQ166" s="386"/>
      <c r="CR166" s="386"/>
      <c r="CS166" s="386"/>
      <c r="CT166" s="386"/>
      <c r="CU166" s="386"/>
      <c r="CV166" s="386"/>
      <c r="CW166" s="386"/>
      <c r="CX166" s="386"/>
      <c r="CY166" s="386"/>
      <c r="CZ166" s="386"/>
      <c r="DA166" s="386"/>
      <c r="DB166" s="386"/>
      <c r="DC166" s="386"/>
      <c r="DD166" s="386"/>
      <c r="DE166" s="386"/>
      <c r="DF166" s="386"/>
      <c r="DG166" s="386"/>
      <c r="DH166" s="386"/>
      <c r="DI166" s="386"/>
      <c r="DJ166" s="386"/>
      <c r="DK166" s="386"/>
      <c r="DL166" s="386"/>
      <c r="DM166" s="386"/>
      <c r="DN166" s="386"/>
      <c r="DO166" s="386"/>
      <c r="DP166" s="386"/>
      <c r="DQ166" s="386"/>
      <c r="DR166" s="386"/>
      <c r="DS166" s="386"/>
      <c r="DT166" s="386"/>
      <c r="DU166" s="386"/>
      <c r="DV166" s="386"/>
      <c r="DW166" s="386"/>
      <c r="DX166" s="386"/>
      <c r="DY166" s="386"/>
      <c r="DZ166" s="386"/>
      <c r="EA166" s="386"/>
      <c r="EB166" s="386"/>
      <c r="EC166" s="386"/>
      <c r="ED166" s="386"/>
      <c r="EE166" s="386"/>
      <c r="EF166" s="386"/>
      <c r="EG166" s="386"/>
      <c r="EH166" s="386"/>
      <c r="EI166" s="386"/>
      <c r="EJ166" s="386"/>
      <c r="EK166" s="386"/>
      <c r="EL166" s="386"/>
      <c r="EM166" s="386"/>
      <c r="EN166" s="386"/>
      <c r="EO166" s="386"/>
      <c r="EP166" s="386"/>
      <c r="EQ166" s="386"/>
      <c r="ER166" s="386"/>
      <c r="ES166" s="386"/>
      <c r="ET166" s="386"/>
      <c r="EU166" s="386"/>
      <c r="EV166" s="386"/>
      <c r="EW166" s="386"/>
      <c r="EX166" s="386"/>
      <c r="EY166" s="386"/>
      <c r="EZ166" s="386"/>
      <c r="FA166" s="386"/>
      <c r="FB166" s="386"/>
      <c r="FC166" s="386"/>
      <c r="FD166" s="386"/>
      <c r="FE166" s="386"/>
      <c r="FF166" s="386"/>
      <c r="FG166" s="386"/>
      <c r="FH166" s="386"/>
      <c r="FI166" s="386"/>
      <c r="FJ166" s="386"/>
      <c r="FK166" s="386"/>
      <c r="FL166" s="386"/>
      <c r="FM166" s="386"/>
      <c r="FN166" s="386"/>
      <c r="FO166" s="386"/>
      <c r="FP166" s="386"/>
      <c r="FQ166" s="386"/>
      <c r="FR166" s="386"/>
      <c r="FS166" s="386"/>
      <c r="FT166" s="386"/>
      <c r="FU166" s="386"/>
      <c r="FV166" s="386"/>
      <c r="FW166" s="386"/>
      <c r="FX166" s="386"/>
      <c r="FY166" s="386"/>
      <c r="FZ166" s="386"/>
      <c r="GA166" s="386"/>
      <c r="GB166" s="386"/>
      <c r="GC166" s="386"/>
      <c r="GD166" s="386"/>
      <c r="GE166" s="386"/>
      <c r="GF166" s="386"/>
      <c r="GG166" s="386"/>
      <c r="GH166" s="386"/>
      <c r="GI166" s="386"/>
      <c r="GJ166" s="386"/>
      <c r="GK166" s="386"/>
      <c r="GL166" s="386"/>
    </row>
    <row r="167" spans="1:194" s="393" customFormat="1" ht="27.75" customHeight="1" hidden="1">
      <c r="A167" s="386"/>
      <c r="B167" s="465"/>
      <c r="C167" s="465"/>
      <c r="D167" s="465"/>
      <c r="E167" s="465"/>
      <c r="F167" s="465"/>
      <c r="G167" s="465"/>
      <c r="H167" s="465"/>
      <c r="I167" s="465"/>
      <c r="J167" s="465"/>
      <c r="K167" s="465"/>
      <c r="L167" s="465"/>
      <c r="M167" s="465"/>
      <c r="N167" s="386"/>
      <c r="O167" s="386"/>
      <c r="P167" s="386"/>
      <c r="Q167" s="386"/>
      <c r="R167" s="386"/>
      <c r="S167" s="386"/>
      <c r="T167" s="386"/>
      <c r="U167" s="386"/>
      <c r="V167" s="386"/>
      <c r="W167" s="386"/>
      <c r="X167" s="386"/>
      <c r="Y167" s="386"/>
      <c r="Z167" s="386"/>
      <c r="AA167" s="404"/>
      <c r="AB167" s="388"/>
      <c r="AC167" s="405"/>
      <c r="AD167" s="386"/>
      <c r="AE167" s="386"/>
      <c r="AF167" s="386"/>
      <c r="AG167" s="386"/>
      <c r="AH167" s="386"/>
      <c r="AI167" s="386"/>
      <c r="AJ167" s="386"/>
      <c r="AK167" s="386"/>
      <c r="AL167" s="386"/>
      <c r="AM167" s="386"/>
      <c r="AN167" s="386"/>
      <c r="AO167" s="386"/>
      <c r="AP167" s="386"/>
      <c r="AQ167" s="386"/>
      <c r="AR167" s="386"/>
      <c r="AS167" s="386"/>
      <c r="AT167" s="386"/>
      <c r="AU167" s="386"/>
      <c r="AV167" s="386"/>
      <c r="AW167" s="386"/>
      <c r="AX167" s="386"/>
      <c r="AY167" s="386"/>
      <c r="AZ167" s="386"/>
      <c r="BA167" s="386"/>
      <c r="BB167" s="386"/>
      <c r="BC167" s="386"/>
      <c r="BD167" s="386"/>
      <c r="BE167" s="386"/>
      <c r="BF167" s="386"/>
      <c r="BG167" s="386"/>
      <c r="BH167" s="386"/>
      <c r="BI167" s="386"/>
      <c r="BJ167" s="386"/>
      <c r="BK167" s="386"/>
      <c r="BL167" s="386"/>
      <c r="BM167" s="386"/>
      <c r="BN167" s="386"/>
      <c r="BO167" s="386"/>
      <c r="BP167" s="386"/>
      <c r="BQ167" s="386"/>
      <c r="BR167" s="386"/>
      <c r="BS167" s="386"/>
      <c r="BT167" s="386"/>
      <c r="BU167" s="386"/>
      <c r="BV167" s="386"/>
      <c r="BW167" s="386"/>
      <c r="BX167" s="386"/>
      <c r="BY167" s="386"/>
      <c r="BZ167" s="386"/>
      <c r="CA167" s="386"/>
      <c r="CB167" s="386"/>
      <c r="CC167" s="386"/>
      <c r="CD167" s="386"/>
      <c r="CE167" s="386"/>
      <c r="CF167" s="386"/>
      <c r="CG167" s="386"/>
      <c r="CH167" s="386"/>
      <c r="CI167" s="386"/>
      <c r="CJ167" s="386"/>
      <c r="CK167" s="386"/>
      <c r="CL167" s="386"/>
      <c r="CM167" s="386"/>
      <c r="CN167" s="386"/>
      <c r="CO167" s="386"/>
      <c r="CP167" s="386"/>
      <c r="CQ167" s="386"/>
      <c r="CR167" s="386"/>
      <c r="CS167" s="386"/>
      <c r="CT167" s="386"/>
      <c r="CU167" s="386"/>
      <c r="CV167" s="386"/>
      <c r="CW167" s="386"/>
      <c r="CX167" s="386"/>
      <c r="CY167" s="386"/>
      <c r="CZ167" s="386"/>
      <c r="DA167" s="386"/>
      <c r="DB167" s="386"/>
      <c r="DC167" s="386"/>
      <c r="DD167" s="386"/>
      <c r="DE167" s="386"/>
      <c r="DF167" s="386"/>
      <c r="DG167" s="386"/>
      <c r="DH167" s="386"/>
      <c r="DI167" s="386"/>
      <c r="DJ167" s="386"/>
      <c r="DK167" s="386"/>
      <c r="DL167" s="386"/>
      <c r="DM167" s="386"/>
      <c r="DN167" s="386"/>
      <c r="DO167" s="386"/>
      <c r="DP167" s="386"/>
      <c r="DQ167" s="386"/>
      <c r="DR167" s="386"/>
      <c r="DS167" s="386"/>
      <c r="DT167" s="386"/>
      <c r="DU167" s="386"/>
      <c r="DV167" s="386"/>
      <c r="DW167" s="386"/>
      <c r="DX167" s="386"/>
      <c r="DY167" s="386"/>
      <c r="DZ167" s="386"/>
      <c r="EA167" s="386"/>
      <c r="EB167" s="386"/>
      <c r="EC167" s="386"/>
      <c r="ED167" s="386"/>
      <c r="EE167" s="386"/>
      <c r="EF167" s="386"/>
      <c r="EG167" s="386"/>
      <c r="EH167" s="386"/>
      <c r="EI167" s="386"/>
      <c r="EJ167" s="386"/>
      <c r="EK167" s="386"/>
      <c r="EL167" s="386"/>
      <c r="EM167" s="386"/>
      <c r="EN167" s="386"/>
      <c r="EO167" s="386"/>
      <c r="EP167" s="386"/>
      <c r="EQ167" s="386"/>
      <c r="ER167" s="386"/>
      <c r="ES167" s="386"/>
      <c r="ET167" s="386"/>
      <c r="EU167" s="386"/>
      <c r="EV167" s="386"/>
      <c r="EW167" s="386"/>
      <c r="EX167" s="386"/>
      <c r="EY167" s="386"/>
      <c r="EZ167" s="386"/>
      <c r="FA167" s="386"/>
      <c r="FB167" s="386"/>
      <c r="FC167" s="386"/>
      <c r="FD167" s="386"/>
      <c r="FE167" s="386"/>
      <c r="FF167" s="386"/>
      <c r="FG167" s="386"/>
      <c r="FH167" s="386"/>
      <c r="FI167" s="386"/>
      <c r="FJ167" s="386"/>
      <c r="FK167" s="386"/>
      <c r="FL167" s="386"/>
      <c r="FM167" s="386"/>
      <c r="FN167" s="386"/>
      <c r="FO167" s="386"/>
      <c r="FP167" s="386"/>
      <c r="FQ167" s="386"/>
      <c r="FR167" s="386"/>
      <c r="FS167" s="386"/>
      <c r="FT167" s="386"/>
      <c r="FU167" s="386"/>
      <c r="FV167" s="386"/>
      <c r="FW167" s="386"/>
      <c r="FX167" s="386"/>
      <c r="FY167" s="386"/>
      <c r="FZ167" s="386"/>
      <c r="GA167" s="386"/>
      <c r="GB167" s="386"/>
      <c r="GC167" s="386"/>
      <c r="GD167" s="386"/>
      <c r="GE167" s="386"/>
      <c r="GF167" s="386"/>
      <c r="GG167" s="386"/>
      <c r="GH167" s="386"/>
      <c r="GI167" s="386"/>
      <c r="GJ167" s="386"/>
      <c r="GK167" s="386"/>
      <c r="GL167" s="386"/>
    </row>
    <row r="168" spans="1:194" s="393" customFormat="1" ht="27.75" customHeight="1" hidden="1" thickBot="1">
      <c r="A168" s="386"/>
      <c r="B168" s="465"/>
      <c r="C168" s="465"/>
      <c r="D168" s="465"/>
      <c r="E168" s="465"/>
      <c r="F168" s="465"/>
      <c r="G168" s="465"/>
      <c r="H168" s="465"/>
      <c r="I168" s="465"/>
      <c r="J168" s="465"/>
      <c r="K168" s="465"/>
      <c r="L168" s="465"/>
      <c r="M168" s="465"/>
      <c r="N168" s="386"/>
      <c r="O168" s="386"/>
      <c r="P168" s="386"/>
      <c r="Q168" s="386"/>
      <c r="R168" s="386"/>
      <c r="S168" s="386"/>
      <c r="T168" s="386"/>
      <c r="U168" s="386"/>
      <c r="V168" s="386"/>
      <c r="W168" s="386"/>
      <c r="X168" s="386"/>
      <c r="Y168" s="386"/>
      <c r="Z168" s="386"/>
      <c r="AA168" s="404"/>
      <c r="AB168" s="388">
        <v>22</v>
      </c>
      <c r="AC168" s="405"/>
      <c r="AD168" s="386"/>
      <c r="AE168" s="386"/>
      <c r="AF168" s="386"/>
      <c r="AG168" s="386"/>
      <c r="AH168" s="386"/>
      <c r="AI168" s="386"/>
      <c r="AJ168" s="386"/>
      <c r="AK168" s="386"/>
      <c r="AL168" s="386"/>
      <c r="AM168" s="386"/>
      <c r="AN168" s="386"/>
      <c r="AO168" s="386"/>
      <c r="AP168" s="386"/>
      <c r="AQ168" s="386"/>
      <c r="AR168" s="386"/>
      <c r="AS168" s="386"/>
      <c r="AT168" s="386"/>
      <c r="AU168" s="386"/>
      <c r="AV168" s="386"/>
      <c r="AW168" s="386"/>
      <c r="AX168" s="386"/>
      <c r="AY168" s="386"/>
      <c r="AZ168" s="386"/>
      <c r="BA168" s="386"/>
      <c r="BB168" s="386"/>
      <c r="BC168" s="386"/>
      <c r="BD168" s="386"/>
      <c r="BE168" s="386"/>
      <c r="BF168" s="386"/>
      <c r="BG168" s="386"/>
      <c r="BH168" s="386"/>
      <c r="BI168" s="386"/>
      <c r="BJ168" s="386"/>
      <c r="BK168" s="386"/>
      <c r="BL168" s="386"/>
      <c r="BM168" s="386"/>
      <c r="BN168" s="386"/>
      <c r="BO168" s="386"/>
      <c r="BP168" s="386"/>
      <c r="BQ168" s="386"/>
      <c r="BR168" s="386"/>
      <c r="BS168" s="386"/>
      <c r="BT168" s="386"/>
      <c r="BU168" s="386"/>
      <c r="BV168" s="386"/>
      <c r="BW168" s="386"/>
      <c r="BX168" s="386"/>
      <c r="BY168" s="386"/>
      <c r="BZ168" s="386"/>
      <c r="CA168" s="386"/>
      <c r="CB168" s="386"/>
      <c r="CC168" s="386"/>
      <c r="CD168" s="386"/>
      <c r="CE168" s="386"/>
      <c r="CF168" s="386"/>
      <c r="CG168" s="386"/>
      <c r="CH168" s="386"/>
      <c r="CI168" s="386"/>
      <c r="CJ168" s="386"/>
      <c r="CK168" s="386"/>
      <c r="CL168" s="386"/>
      <c r="CM168" s="386"/>
      <c r="CN168" s="386"/>
      <c r="CO168" s="386"/>
      <c r="CP168" s="386"/>
      <c r="CQ168" s="386"/>
      <c r="CR168" s="386"/>
      <c r="CS168" s="386"/>
      <c r="CT168" s="386"/>
      <c r="CU168" s="386"/>
      <c r="CV168" s="386"/>
      <c r="CW168" s="386"/>
      <c r="CX168" s="386"/>
      <c r="CY168" s="386"/>
      <c r="CZ168" s="386"/>
      <c r="DA168" s="386"/>
      <c r="DB168" s="386"/>
      <c r="DC168" s="386"/>
      <c r="DD168" s="386"/>
      <c r="DE168" s="386"/>
      <c r="DF168" s="386"/>
      <c r="DG168" s="386"/>
      <c r="DH168" s="386"/>
      <c r="DI168" s="386"/>
      <c r="DJ168" s="386"/>
      <c r="DK168" s="386"/>
      <c r="DL168" s="386"/>
      <c r="DM168" s="386"/>
      <c r="DN168" s="386"/>
      <c r="DO168" s="386"/>
      <c r="DP168" s="386"/>
      <c r="DQ168" s="386"/>
      <c r="DR168" s="386"/>
      <c r="DS168" s="386"/>
      <c r="DT168" s="386"/>
      <c r="DU168" s="386"/>
      <c r="DV168" s="386"/>
      <c r="DW168" s="386"/>
      <c r="DX168" s="386"/>
      <c r="DY168" s="386"/>
      <c r="DZ168" s="386"/>
      <c r="EA168" s="386"/>
      <c r="EB168" s="386"/>
      <c r="EC168" s="386"/>
      <c r="ED168" s="386"/>
      <c r="EE168" s="386"/>
      <c r="EF168" s="386"/>
      <c r="EG168" s="386"/>
      <c r="EH168" s="386"/>
      <c r="EI168" s="386"/>
      <c r="EJ168" s="386"/>
      <c r="EK168" s="386"/>
      <c r="EL168" s="386"/>
      <c r="EM168" s="386"/>
      <c r="EN168" s="386"/>
      <c r="EO168" s="386"/>
      <c r="EP168" s="386"/>
      <c r="EQ168" s="386"/>
      <c r="ER168" s="386"/>
      <c r="ES168" s="386"/>
      <c r="ET168" s="386"/>
      <c r="EU168" s="386"/>
      <c r="EV168" s="386"/>
      <c r="EW168" s="386"/>
      <c r="EX168" s="386"/>
      <c r="EY168" s="386"/>
      <c r="EZ168" s="386"/>
      <c r="FA168" s="386"/>
      <c r="FB168" s="386"/>
      <c r="FC168" s="386"/>
      <c r="FD168" s="386"/>
      <c r="FE168" s="386"/>
      <c r="FF168" s="386"/>
      <c r="FG168" s="386"/>
      <c r="FH168" s="386"/>
      <c r="FI168" s="386"/>
      <c r="FJ168" s="386"/>
      <c r="FK168" s="386"/>
      <c r="FL168" s="386"/>
      <c r="FM168" s="386"/>
      <c r="FN168" s="386"/>
      <c r="FO168" s="386"/>
      <c r="FP168" s="386"/>
      <c r="FQ168" s="386"/>
      <c r="FR168" s="386"/>
      <c r="FS168" s="386"/>
      <c r="FT168" s="386"/>
      <c r="FU168" s="386"/>
      <c r="FV168" s="386"/>
      <c r="FW168" s="386"/>
      <c r="FX168" s="386"/>
      <c r="FY168" s="386"/>
      <c r="FZ168" s="386"/>
      <c r="GA168" s="386"/>
      <c r="GB168" s="386"/>
      <c r="GC168" s="386"/>
      <c r="GD168" s="386"/>
      <c r="GE168" s="386"/>
      <c r="GF168" s="386"/>
      <c r="GG168" s="386"/>
      <c r="GH168" s="386"/>
      <c r="GI168" s="386"/>
      <c r="GJ168" s="386"/>
      <c r="GK168" s="386"/>
      <c r="GL168" s="386"/>
    </row>
    <row r="169" spans="1:194" s="393" customFormat="1" ht="27.75" customHeight="1" hidden="1" thickBot="1">
      <c r="A169" s="386"/>
      <c r="B169" s="465"/>
      <c r="C169" s="465"/>
      <c r="D169" s="465"/>
      <c r="E169" s="465"/>
      <c r="F169" s="465"/>
      <c r="G169" s="465"/>
      <c r="H169" s="465"/>
      <c r="I169" s="465"/>
      <c r="J169" s="465"/>
      <c r="K169" s="465"/>
      <c r="L169" s="465"/>
      <c r="M169" s="465"/>
      <c r="N169" s="386"/>
      <c r="O169" s="386"/>
      <c r="P169" s="386"/>
      <c r="Q169" s="386"/>
      <c r="R169" s="386"/>
      <c r="S169" s="386"/>
      <c r="T169" s="386"/>
      <c r="U169" s="386"/>
      <c r="V169" s="386"/>
      <c r="W169" s="386"/>
      <c r="X169" s="386"/>
      <c r="Y169" s="386"/>
      <c r="Z169" s="386"/>
      <c r="AA169" s="436" t="s">
        <v>164</v>
      </c>
      <c r="AB169" s="439">
        <f>VLOOKUP(AA170,AA86:AC165,2,0)</f>
        <v>16150</v>
      </c>
      <c r="AC169" s="437" t="s">
        <v>168</v>
      </c>
      <c r="AD169" s="440">
        <f>IF(AA57=13,VLOOKUP(AB169,AC86:AD163,2,0),AB169)</f>
        <v>16150</v>
      </c>
      <c r="AE169" s="386"/>
      <c r="AF169" s="386"/>
      <c r="AG169" s="386"/>
      <c r="AH169" s="386"/>
      <c r="AI169" s="386"/>
      <c r="AJ169" s="386"/>
      <c r="AK169" s="386"/>
      <c r="AL169" s="386"/>
      <c r="AM169" s="386"/>
      <c r="AN169" s="386"/>
      <c r="AO169" s="386"/>
      <c r="AP169" s="386"/>
      <c r="AQ169" s="386"/>
      <c r="AR169" s="386"/>
      <c r="AS169" s="386"/>
      <c r="AT169" s="386"/>
      <c r="AU169" s="386"/>
      <c r="AV169" s="386"/>
      <c r="AW169" s="386"/>
      <c r="AX169" s="386"/>
      <c r="AY169" s="386"/>
      <c r="AZ169" s="386"/>
      <c r="BA169" s="386"/>
      <c r="BB169" s="386"/>
      <c r="BC169" s="386"/>
      <c r="BD169" s="386"/>
      <c r="BE169" s="386"/>
      <c r="BF169" s="386"/>
      <c r="BG169" s="386"/>
      <c r="BH169" s="386"/>
      <c r="BI169" s="386"/>
      <c r="BJ169" s="386"/>
      <c r="BK169" s="386"/>
      <c r="BL169" s="386"/>
      <c r="BM169" s="386"/>
      <c r="BN169" s="386"/>
      <c r="BO169" s="386"/>
      <c r="BP169" s="386"/>
      <c r="BQ169" s="386"/>
      <c r="BR169" s="386"/>
      <c r="BS169" s="386"/>
      <c r="BT169" s="386"/>
      <c r="BU169" s="386"/>
      <c r="BV169" s="386"/>
      <c r="BW169" s="386"/>
      <c r="BX169" s="386"/>
      <c r="BY169" s="386"/>
      <c r="BZ169" s="386"/>
      <c r="CA169" s="386"/>
      <c r="CB169" s="386"/>
      <c r="CC169" s="386"/>
      <c r="CD169" s="386"/>
      <c r="CE169" s="386"/>
      <c r="CF169" s="386"/>
      <c r="CG169" s="386"/>
      <c r="CH169" s="386"/>
      <c r="CI169" s="386"/>
      <c r="CJ169" s="386"/>
      <c r="CK169" s="386"/>
      <c r="CL169" s="386"/>
      <c r="CM169" s="386"/>
      <c r="CN169" s="386"/>
      <c r="CO169" s="386"/>
      <c r="CP169" s="386"/>
      <c r="CQ169" s="386"/>
      <c r="CR169" s="386"/>
      <c r="CS169" s="386"/>
      <c r="CT169" s="386"/>
      <c r="CU169" s="386"/>
      <c r="CV169" s="386"/>
      <c r="CW169" s="386"/>
      <c r="CX169" s="386"/>
      <c r="CY169" s="386"/>
      <c r="CZ169" s="386"/>
      <c r="DA169" s="386"/>
      <c r="DB169" s="386"/>
      <c r="DC169" s="386"/>
      <c r="DD169" s="386"/>
      <c r="DE169" s="386"/>
      <c r="DF169" s="386"/>
      <c r="DG169" s="386"/>
      <c r="DH169" s="386"/>
      <c r="DI169" s="386"/>
      <c r="DJ169" s="386"/>
      <c r="DK169" s="386"/>
      <c r="DL169" s="386"/>
      <c r="DM169" s="386"/>
      <c r="DN169" s="386"/>
      <c r="DO169" s="386"/>
      <c r="DP169" s="386"/>
      <c r="DQ169" s="386"/>
      <c r="DR169" s="386"/>
      <c r="DS169" s="386"/>
      <c r="DT169" s="386"/>
      <c r="DU169" s="386"/>
      <c r="DV169" s="386"/>
      <c r="DW169" s="386"/>
      <c r="DX169" s="386"/>
      <c r="DY169" s="386"/>
      <c r="DZ169" s="386"/>
      <c r="EA169" s="386"/>
      <c r="EB169" s="386"/>
      <c r="EC169" s="386"/>
      <c r="ED169" s="386"/>
      <c r="EE169" s="386"/>
      <c r="EF169" s="386"/>
      <c r="EG169" s="386"/>
      <c r="EH169" s="386"/>
      <c r="EI169" s="386"/>
      <c r="EJ169" s="386"/>
      <c r="EK169" s="386"/>
      <c r="EL169" s="386"/>
      <c r="EM169" s="386"/>
      <c r="EN169" s="386"/>
      <c r="EO169" s="386"/>
      <c r="EP169" s="386"/>
      <c r="EQ169" s="386"/>
      <c r="ER169" s="386"/>
      <c r="ES169" s="386"/>
      <c r="ET169" s="386"/>
      <c r="EU169" s="386"/>
      <c r="EV169" s="386"/>
      <c r="EW169" s="386"/>
      <c r="EX169" s="386"/>
      <c r="EY169" s="386"/>
      <c r="EZ169" s="386"/>
      <c r="FA169" s="386"/>
      <c r="FB169" s="386"/>
      <c r="FC169" s="386"/>
      <c r="FD169" s="386"/>
      <c r="FE169" s="386"/>
      <c r="FF169" s="386"/>
      <c r="FG169" s="386"/>
      <c r="FH169" s="386"/>
      <c r="FI169" s="386"/>
      <c r="FJ169" s="386"/>
      <c r="FK169" s="386"/>
      <c r="FL169" s="386"/>
      <c r="FM169" s="386"/>
      <c r="FN169" s="386"/>
      <c r="FO169" s="386"/>
      <c r="FP169" s="386"/>
      <c r="FQ169" s="386"/>
      <c r="FR169" s="386"/>
      <c r="FS169" s="386"/>
      <c r="FT169" s="386"/>
      <c r="FU169" s="386"/>
      <c r="FV169" s="386"/>
      <c r="FW169" s="386"/>
      <c r="FX169" s="386"/>
      <c r="FY169" s="386"/>
      <c r="FZ169" s="386"/>
      <c r="GA169" s="386"/>
      <c r="GB169" s="386"/>
      <c r="GC169" s="386"/>
      <c r="GD169" s="386"/>
      <c r="GE169" s="386"/>
      <c r="GF169" s="386"/>
      <c r="GG169" s="386"/>
      <c r="GH169" s="386"/>
      <c r="GI169" s="386"/>
      <c r="GJ169" s="386"/>
      <c r="GK169" s="386"/>
      <c r="GL169" s="386"/>
    </row>
    <row r="170" spans="2:194" s="393" customFormat="1" ht="27.75" customHeight="1" hidden="1">
      <c r="B170" s="470"/>
      <c r="C170" s="470"/>
      <c r="D170" s="470"/>
      <c r="E170" s="470"/>
      <c r="F170" s="470"/>
      <c r="G170" s="470"/>
      <c r="H170" s="470"/>
      <c r="I170" s="470"/>
      <c r="J170" s="470"/>
      <c r="K170" s="470"/>
      <c r="L170" s="470"/>
      <c r="M170" s="470"/>
      <c r="Q170" s="386"/>
      <c r="R170" s="386"/>
      <c r="S170" s="386"/>
      <c r="T170" s="386"/>
      <c r="U170" s="386"/>
      <c r="V170" s="386"/>
      <c r="W170" s="386"/>
      <c r="X170" s="386"/>
      <c r="Y170" s="386"/>
      <c r="Z170" s="386"/>
      <c r="AA170" s="404">
        <v>32</v>
      </c>
      <c r="AB170" s="388">
        <v>32</v>
      </c>
      <c r="AC170" s="405"/>
      <c r="AD170" s="386"/>
      <c r="AE170" s="386"/>
      <c r="AF170" s="386"/>
      <c r="AG170" s="386"/>
      <c r="AH170" s="386"/>
      <c r="AI170" s="386"/>
      <c r="AJ170" s="386"/>
      <c r="AK170" s="386"/>
      <c r="AL170" s="386"/>
      <c r="AM170" s="386"/>
      <c r="AN170" s="386"/>
      <c r="AO170" s="386"/>
      <c r="AP170" s="386"/>
      <c r="AQ170" s="386"/>
      <c r="AR170" s="386"/>
      <c r="AS170" s="386"/>
      <c r="AT170" s="386"/>
      <c r="AU170" s="386"/>
      <c r="AV170" s="386"/>
      <c r="AW170" s="386"/>
      <c r="AX170" s="386"/>
      <c r="AY170" s="386"/>
      <c r="AZ170" s="386"/>
      <c r="BA170" s="386"/>
      <c r="BB170" s="386"/>
      <c r="BC170" s="386"/>
      <c r="BD170" s="386"/>
      <c r="BE170" s="386"/>
      <c r="BF170" s="386"/>
      <c r="BG170" s="386"/>
      <c r="BH170" s="386"/>
      <c r="BI170" s="386"/>
      <c r="BJ170" s="386"/>
      <c r="BK170" s="386"/>
      <c r="BL170" s="386"/>
      <c r="BM170" s="386"/>
      <c r="BN170" s="386"/>
      <c r="BO170" s="386"/>
      <c r="BP170" s="386"/>
      <c r="BQ170" s="386"/>
      <c r="BR170" s="386"/>
      <c r="BS170" s="386"/>
      <c r="BT170" s="386"/>
      <c r="BU170" s="386"/>
      <c r="BV170" s="386"/>
      <c r="BW170" s="386"/>
      <c r="BX170" s="386"/>
      <c r="BY170" s="386"/>
      <c r="BZ170" s="386"/>
      <c r="CA170" s="386"/>
      <c r="CB170" s="386"/>
      <c r="CC170" s="386"/>
      <c r="CD170" s="386"/>
      <c r="CE170" s="386"/>
      <c r="CF170" s="386"/>
      <c r="CG170" s="386"/>
      <c r="CH170" s="386"/>
      <c r="CI170" s="386"/>
      <c r="CJ170" s="386"/>
      <c r="CK170" s="386"/>
      <c r="CL170" s="386"/>
      <c r="CM170" s="386"/>
      <c r="CN170" s="386"/>
      <c r="CO170" s="386"/>
      <c r="CP170" s="386"/>
      <c r="CQ170" s="386"/>
      <c r="CR170" s="386"/>
      <c r="CS170" s="386"/>
      <c r="CT170" s="386"/>
      <c r="CU170" s="386"/>
      <c r="CV170" s="386"/>
      <c r="CW170" s="386"/>
      <c r="CX170" s="386"/>
      <c r="CY170" s="386"/>
      <c r="CZ170" s="386"/>
      <c r="DA170" s="386"/>
      <c r="DB170" s="386"/>
      <c r="DC170" s="386"/>
      <c r="DD170" s="386"/>
      <c r="DE170" s="386"/>
      <c r="DF170" s="386"/>
      <c r="DG170" s="386"/>
      <c r="DH170" s="386"/>
      <c r="DI170" s="386"/>
      <c r="DJ170" s="386"/>
      <c r="DK170" s="386"/>
      <c r="DL170" s="386"/>
      <c r="DM170" s="386"/>
      <c r="DN170" s="386"/>
      <c r="DO170" s="386"/>
      <c r="DP170" s="386"/>
      <c r="DQ170" s="386"/>
      <c r="DR170" s="386"/>
      <c r="DS170" s="386"/>
      <c r="DT170" s="386"/>
      <c r="DU170" s="386"/>
      <c r="DV170" s="386"/>
      <c r="DW170" s="386"/>
      <c r="DX170" s="386"/>
      <c r="DY170" s="386"/>
      <c r="DZ170" s="386"/>
      <c r="EA170" s="386"/>
      <c r="EB170" s="386"/>
      <c r="EC170" s="386"/>
      <c r="ED170" s="386"/>
      <c r="EE170" s="386"/>
      <c r="EF170" s="386"/>
      <c r="EG170" s="386"/>
      <c r="EH170" s="386"/>
      <c r="EI170" s="386"/>
      <c r="EJ170" s="386"/>
      <c r="EK170" s="386"/>
      <c r="EL170" s="386"/>
      <c r="EM170" s="386"/>
      <c r="EN170" s="386"/>
      <c r="EO170" s="386"/>
      <c r="EP170" s="386"/>
      <c r="EQ170" s="386"/>
      <c r="ER170" s="386"/>
      <c r="ES170" s="386"/>
      <c r="ET170" s="386"/>
      <c r="EU170" s="386"/>
      <c r="EV170" s="386"/>
      <c r="EW170" s="386"/>
      <c r="EX170" s="386"/>
      <c r="EY170" s="386"/>
      <c r="EZ170" s="386"/>
      <c r="FA170" s="386"/>
      <c r="FB170" s="386"/>
      <c r="FC170" s="386"/>
      <c r="FD170" s="386"/>
      <c r="FE170" s="386"/>
      <c r="FF170" s="386"/>
      <c r="FG170" s="386"/>
      <c r="FH170" s="386"/>
      <c r="FI170" s="386"/>
      <c r="FJ170" s="386"/>
      <c r="FK170" s="386"/>
      <c r="FL170" s="386"/>
      <c r="FM170" s="386"/>
      <c r="FN170" s="386"/>
      <c r="FO170" s="386"/>
      <c r="FP170" s="386"/>
      <c r="FQ170" s="386"/>
      <c r="FR170" s="386"/>
      <c r="FS170" s="386"/>
      <c r="FT170" s="386"/>
      <c r="FU170" s="386"/>
      <c r="FV170" s="386"/>
      <c r="FW170" s="386"/>
      <c r="FX170" s="386"/>
      <c r="FY170" s="386"/>
      <c r="FZ170" s="386"/>
      <c r="GA170" s="386"/>
      <c r="GB170" s="386"/>
      <c r="GC170" s="386"/>
      <c r="GD170" s="386"/>
      <c r="GE170" s="386"/>
      <c r="GF170" s="386"/>
      <c r="GG170" s="386"/>
      <c r="GH170" s="386"/>
      <c r="GI170" s="386"/>
      <c r="GJ170" s="386"/>
      <c r="GK170" s="386"/>
      <c r="GL170" s="386"/>
    </row>
    <row r="171" spans="2:194" s="393" customFormat="1" ht="27.75" customHeight="1" hidden="1" thickBot="1">
      <c r="B171" s="470"/>
      <c r="C171" s="470"/>
      <c r="D171" s="470"/>
      <c r="E171" s="470"/>
      <c r="F171" s="470"/>
      <c r="G171" s="470"/>
      <c r="H171" s="470"/>
      <c r="I171" s="470"/>
      <c r="J171" s="470"/>
      <c r="K171" s="470"/>
      <c r="L171" s="470"/>
      <c r="M171" s="470"/>
      <c r="Q171" s="386"/>
      <c r="R171" s="386"/>
      <c r="S171" s="386"/>
      <c r="T171" s="386"/>
      <c r="U171" s="386"/>
      <c r="V171" s="386"/>
      <c r="W171" s="386"/>
      <c r="X171" s="386"/>
      <c r="Y171" s="386"/>
      <c r="Z171" s="386"/>
      <c r="AA171" s="406"/>
      <c r="AB171" s="407">
        <f>VLOOKUP(AB170,AA86:AC165,2,0)</f>
        <v>16150</v>
      </c>
      <c r="AC171" s="416" t="s">
        <v>169</v>
      </c>
      <c r="AD171" s="386"/>
      <c r="AE171" s="386"/>
      <c r="AF171" s="386"/>
      <c r="AG171" s="386"/>
      <c r="AH171" s="386"/>
      <c r="AI171" s="386"/>
      <c r="AJ171" s="386"/>
      <c r="AK171" s="386"/>
      <c r="AL171" s="386"/>
      <c r="AM171" s="386"/>
      <c r="AN171" s="386"/>
      <c r="AO171" s="386"/>
      <c r="AP171" s="386"/>
      <c r="AQ171" s="386"/>
      <c r="AR171" s="386"/>
      <c r="AS171" s="386"/>
      <c r="AT171" s="386"/>
      <c r="AU171" s="386"/>
      <c r="AV171" s="386"/>
      <c r="AW171" s="386"/>
      <c r="AX171" s="386"/>
      <c r="AY171" s="386"/>
      <c r="AZ171" s="386"/>
      <c r="BA171" s="386"/>
      <c r="BB171" s="386"/>
      <c r="BC171" s="386"/>
      <c r="BD171" s="386"/>
      <c r="BE171" s="386"/>
      <c r="BF171" s="386"/>
      <c r="BG171" s="386"/>
      <c r="BH171" s="386"/>
      <c r="BI171" s="386"/>
      <c r="BJ171" s="386"/>
      <c r="BK171" s="386"/>
      <c r="BL171" s="386"/>
      <c r="BM171" s="386"/>
      <c r="BN171" s="386"/>
      <c r="BO171" s="386"/>
      <c r="BP171" s="386"/>
      <c r="BQ171" s="386"/>
      <c r="BR171" s="386"/>
      <c r="BS171" s="386"/>
      <c r="BT171" s="386"/>
      <c r="BU171" s="386"/>
      <c r="BV171" s="386"/>
      <c r="BW171" s="386"/>
      <c r="BX171" s="386"/>
      <c r="BY171" s="386"/>
      <c r="BZ171" s="386"/>
      <c r="CA171" s="386"/>
      <c r="CB171" s="386"/>
      <c r="CC171" s="386"/>
      <c r="CD171" s="386"/>
      <c r="CE171" s="386"/>
      <c r="CF171" s="386"/>
      <c r="CG171" s="386"/>
      <c r="CH171" s="386"/>
      <c r="CI171" s="386"/>
      <c r="CJ171" s="386"/>
      <c r="CK171" s="386"/>
      <c r="CL171" s="386"/>
      <c r="CM171" s="386"/>
      <c r="CN171" s="386"/>
      <c r="CO171" s="386"/>
      <c r="CP171" s="386"/>
      <c r="CQ171" s="386"/>
      <c r="CR171" s="386"/>
      <c r="CS171" s="386"/>
      <c r="CT171" s="386"/>
      <c r="CU171" s="386"/>
      <c r="CV171" s="386"/>
      <c r="CW171" s="386"/>
      <c r="CX171" s="386"/>
      <c r="CY171" s="386"/>
      <c r="CZ171" s="386"/>
      <c r="DA171" s="386"/>
      <c r="DB171" s="386"/>
      <c r="DC171" s="386"/>
      <c r="DD171" s="386"/>
      <c r="DE171" s="386"/>
      <c r="DF171" s="386"/>
      <c r="DG171" s="386"/>
      <c r="DH171" s="386"/>
      <c r="DI171" s="386"/>
      <c r="DJ171" s="386"/>
      <c r="DK171" s="386"/>
      <c r="DL171" s="386"/>
      <c r="DM171" s="386"/>
      <c r="DN171" s="386"/>
      <c r="DO171" s="386"/>
      <c r="DP171" s="386"/>
      <c r="DQ171" s="386"/>
      <c r="DR171" s="386"/>
      <c r="DS171" s="386"/>
      <c r="DT171" s="386"/>
      <c r="DU171" s="386"/>
      <c r="DV171" s="386"/>
      <c r="DW171" s="386"/>
      <c r="DX171" s="386"/>
      <c r="DY171" s="386"/>
      <c r="DZ171" s="386"/>
      <c r="EA171" s="386"/>
      <c r="EB171" s="386"/>
      <c r="EC171" s="386"/>
      <c r="ED171" s="386"/>
      <c r="EE171" s="386"/>
      <c r="EF171" s="386"/>
      <c r="EG171" s="386"/>
      <c r="EH171" s="386"/>
      <c r="EI171" s="386"/>
      <c r="EJ171" s="386"/>
      <c r="EK171" s="386"/>
      <c r="EL171" s="386"/>
      <c r="EM171" s="386"/>
      <c r="EN171" s="386"/>
      <c r="EO171" s="386"/>
      <c r="EP171" s="386"/>
      <c r="EQ171" s="386"/>
      <c r="ER171" s="386"/>
      <c r="ES171" s="386"/>
      <c r="ET171" s="386"/>
      <c r="EU171" s="386"/>
      <c r="EV171" s="386"/>
      <c r="EW171" s="386"/>
      <c r="EX171" s="386"/>
      <c r="EY171" s="386"/>
      <c r="EZ171" s="386"/>
      <c r="FA171" s="386"/>
      <c r="FB171" s="386"/>
      <c r="FC171" s="386"/>
      <c r="FD171" s="386"/>
      <c r="FE171" s="386"/>
      <c r="FF171" s="386"/>
      <c r="FG171" s="386"/>
      <c r="FH171" s="386"/>
      <c r="FI171" s="386"/>
      <c r="FJ171" s="386"/>
      <c r="FK171" s="386"/>
      <c r="FL171" s="386"/>
      <c r="FM171" s="386"/>
      <c r="FN171" s="386"/>
      <c r="FO171" s="386"/>
      <c r="FP171" s="386"/>
      <c r="FQ171" s="386"/>
      <c r="FR171" s="386"/>
      <c r="FS171" s="386"/>
      <c r="FT171" s="386"/>
      <c r="FU171" s="386"/>
      <c r="FV171" s="386"/>
      <c r="FW171" s="386"/>
      <c r="FX171" s="386"/>
      <c r="FY171" s="386"/>
      <c r="FZ171" s="386"/>
      <c r="GA171" s="386"/>
      <c r="GB171" s="386"/>
      <c r="GC171" s="386"/>
      <c r="GD171" s="386"/>
      <c r="GE171" s="386"/>
      <c r="GF171" s="386"/>
      <c r="GG171" s="386"/>
      <c r="GH171" s="386"/>
      <c r="GI171" s="386"/>
      <c r="GJ171" s="386"/>
      <c r="GK171" s="386"/>
      <c r="GL171" s="386"/>
    </row>
    <row r="172" spans="2:194" s="393" customFormat="1" ht="27.75" customHeight="1" hidden="1">
      <c r="B172" s="470"/>
      <c r="C172" s="470"/>
      <c r="D172" s="470"/>
      <c r="E172" s="470"/>
      <c r="F172" s="470"/>
      <c r="G172" s="470"/>
      <c r="H172" s="470"/>
      <c r="I172" s="470"/>
      <c r="J172" s="470"/>
      <c r="K172" s="470"/>
      <c r="L172" s="470"/>
      <c r="M172" s="470"/>
      <c r="Q172" s="386"/>
      <c r="R172" s="386"/>
      <c r="S172" s="386"/>
      <c r="T172" s="386"/>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386"/>
      <c r="AP172" s="386"/>
      <c r="AQ172" s="386"/>
      <c r="AR172" s="386"/>
      <c r="AS172" s="386"/>
      <c r="AT172" s="386"/>
      <c r="AU172" s="386"/>
      <c r="AV172" s="386"/>
      <c r="AW172" s="386"/>
      <c r="AX172" s="386"/>
      <c r="AY172" s="386"/>
      <c r="AZ172" s="386"/>
      <c r="BA172" s="386"/>
      <c r="BB172" s="386"/>
      <c r="BC172" s="386"/>
      <c r="BD172" s="386"/>
      <c r="BE172" s="386"/>
      <c r="BF172" s="386"/>
      <c r="BG172" s="386"/>
      <c r="BH172" s="386"/>
      <c r="BI172" s="386"/>
      <c r="BJ172" s="386"/>
      <c r="BK172" s="386"/>
      <c r="BL172" s="386"/>
      <c r="BM172" s="386"/>
      <c r="BN172" s="386"/>
      <c r="BO172" s="386"/>
      <c r="BP172" s="386"/>
      <c r="BQ172" s="386"/>
      <c r="BR172" s="386"/>
      <c r="BS172" s="386"/>
      <c r="BT172" s="386"/>
      <c r="BU172" s="386"/>
      <c r="BV172" s="386"/>
      <c r="BW172" s="386"/>
      <c r="BX172" s="386"/>
      <c r="BY172" s="386"/>
      <c r="BZ172" s="386"/>
      <c r="CA172" s="386"/>
      <c r="CB172" s="386"/>
      <c r="CC172" s="386"/>
      <c r="CD172" s="386"/>
      <c r="CE172" s="386"/>
      <c r="CF172" s="386"/>
      <c r="CG172" s="386"/>
      <c r="CH172" s="386"/>
      <c r="CI172" s="386"/>
      <c r="CJ172" s="386"/>
      <c r="CK172" s="386"/>
      <c r="CL172" s="386"/>
      <c r="CM172" s="386"/>
      <c r="CN172" s="386"/>
      <c r="CO172" s="386"/>
      <c r="CP172" s="386"/>
      <c r="CQ172" s="386"/>
      <c r="CR172" s="386"/>
      <c r="CS172" s="386"/>
      <c r="CT172" s="386"/>
      <c r="CU172" s="386"/>
      <c r="CV172" s="386"/>
      <c r="CW172" s="386"/>
      <c r="CX172" s="386"/>
      <c r="CY172" s="386"/>
      <c r="CZ172" s="386"/>
      <c r="DA172" s="386"/>
      <c r="DB172" s="386"/>
      <c r="DC172" s="386"/>
      <c r="DD172" s="386"/>
      <c r="DE172" s="386"/>
      <c r="DF172" s="386"/>
      <c r="DG172" s="386"/>
      <c r="DH172" s="386"/>
      <c r="DI172" s="386"/>
      <c r="DJ172" s="386"/>
      <c r="DK172" s="386"/>
      <c r="DL172" s="386"/>
      <c r="DM172" s="386"/>
      <c r="DN172" s="386"/>
      <c r="DO172" s="386"/>
      <c r="DP172" s="386"/>
      <c r="DQ172" s="386"/>
      <c r="DR172" s="386"/>
      <c r="DS172" s="386"/>
      <c r="DT172" s="386"/>
      <c r="DU172" s="386"/>
      <c r="DV172" s="386"/>
      <c r="DW172" s="386"/>
      <c r="DX172" s="386"/>
      <c r="DY172" s="386"/>
      <c r="DZ172" s="386"/>
      <c r="EA172" s="386"/>
      <c r="EB172" s="386"/>
      <c r="EC172" s="386"/>
      <c r="ED172" s="386"/>
      <c r="EE172" s="386"/>
      <c r="EF172" s="386"/>
      <c r="EG172" s="386"/>
      <c r="EH172" s="386"/>
      <c r="EI172" s="386"/>
      <c r="EJ172" s="386"/>
      <c r="EK172" s="386"/>
      <c r="EL172" s="386"/>
      <c r="EM172" s="386"/>
      <c r="EN172" s="386"/>
      <c r="EO172" s="386"/>
      <c r="EP172" s="386"/>
      <c r="EQ172" s="386"/>
      <c r="ER172" s="386"/>
      <c r="ES172" s="386"/>
      <c r="ET172" s="386"/>
      <c r="EU172" s="386"/>
      <c r="EV172" s="386"/>
      <c r="EW172" s="386"/>
      <c r="EX172" s="386"/>
      <c r="EY172" s="386"/>
      <c r="EZ172" s="386"/>
      <c r="FA172" s="386"/>
      <c r="FB172" s="386"/>
      <c r="FC172" s="386"/>
      <c r="FD172" s="386"/>
      <c r="FE172" s="386"/>
      <c r="FF172" s="386"/>
      <c r="FG172" s="386"/>
      <c r="FH172" s="386"/>
      <c r="FI172" s="386"/>
      <c r="FJ172" s="386"/>
      <c r="FK172" s="386"/>
      <c r="FL172" s="386"/>
      <c r="FM172" s="386"/>
      <c r="FN172" s="386"/>
      <c r="FO172" s="386"/>
      <c r="FP172" s="386"/>
      <c r="FQ172" s="386"/>
      <c r="FR172" s="386"/>
      <c r="FS172" s="386"/>
      <c r="FT172" s="386"/>
      <c r="FU172" s="386"/>
      <c r="FV172" s="386"/>
      <c r="FW172" s="386"/>
      <c r="FX172" s="386"/>
      <c r="FY172" s="386"/>
      <c r="FZ172" s="386"/>
      <c r="GA172" s="386"/>
      <c r="GB172" s="386"/>
      <c r="GC172" s="386"/>
      <c r="GD172" s="386"/>
      <c r="GE172" s="386"/>
      <c r="GF172" s="386"/>
      <c r="GG172" s="386"/>
      <c r="GH172" s="386"/>
      <c r="GI172" s="386"/>
      <c r="GJ172" s="386"/>
      <c r="GK172" s="386"/>
      <c r="GL172" s="386"/>
    </row>
  </sheetData>
  <sheetProtection password="9B76" sheet="1" selectLockedCells="1"/>
  <mergeCells count="85">
    <mergeCell ref="G23:K23"/>
    <mergeCell ref="P10:P13"/>
    <mergeCell ref="G22:K22"/>
    <mergeCell ref="O15:P15"/>
    <mergeCell ref="M23:N23"/>
    <mergeCell ref="O18:P18"/>
    <mergeCell ref="E15:I15"/>
    <mergeCell ref="J10:O10"/>
    <mergeCell ref="J11:M11"/>
    <mergeCell ref="G20:K20"/>
    <mergeCell ref="L14:P14"/>
    <mergeCell ref="M19:N19"/>
    <mergeCell ref="E21:F21"/>
    <mergeCell ref="L15:N15"/>
    <mergeCell ref="E20:F20"/>
    <mergeCell ref="M18:N18"/>
    <mergeCell ref="AL34:AL38"/>
    <mergeCell ref="AL30:AL32"/>
    <mergeCell ref="AL26:AL28"/>
    <mergeCell ref="C26:F26"/>
    <mergeCell ref="C27:F27"/>
    <mergeCell ref="C28:F28"/>
    <mergeCell ref="G24:H27"/>
    <mergeCell ref="G28:H28"/>
    <mergeCell ref="E24:F24"/>
    <mergeCell ref="B24:C24"/>
    <mergeCell ref="D9:G9"/>
    <mergeCell ref="B25:F25"/>
    <mergeCell ref="B21:D21"/>
    <mergeCell ref="E5:G5"/>
    <mergeCell ref="E6:I6"/>
    <mergeCell ref="A30:P31"/>
    <mergeCell ref="C16:D16"/>
    <mergeCell ref="E18:F18"/>
    <mergeCell ref="E19:F19"/>
    <mergeCell ref="B18:D18"/>
    <mergeCell ref="D7:G7"/>
    <mergeCell ref="B2:P2"/>
    <mergeCell ref="L4:P4"/>
    <mergeCell ref="D3:I3"/>
    <mergeCell ref="J3:K3"/>
    <mergeCell ref="J4:K4"/>
    <mergeCell ref="L3:P3"/>
    <mergeCell ref="K7:N7"/>
    <mergeCell ref="C4:I4"/>
    <mergeCell ref="M9:O9"/>
    <mergeCell ref="N16:O16"/>
    <mergeCell ref="J8:K8"/>
    <mergeCell ref="J12:M12"/>
    <mergeCell ref="J13:M13"/>
    <mergeCell ref="N11:O11"/>
    <mergeCell ref="M8:N8"/>
    <mergeCell ref="N13:O13"/>
    <mergeCell ref="J9:K9"/>
    <mergeCell ref="N12:O12"/>
    <mergeCell ref="S51:U51"/>
    <mergeCell ref="H17:I17"/>
    <mergeCell ref="G18:K18"/>
    <mergeCell ref="G19:K19"/>
    <mergeCell ref="L17:O17"/>
    <mergeCell ref="N51:P51"/>
    <mergeCell ref="N49:O49"/>
    <mergeCell ref="S49:U49"/>
    <mergeCell ref="S50:V50"/>
    <mergeCell ref="I28:M28"/>
    <mergeCell ref="C14:D14"/>
    <mergeCell ref="M22:N22"/>
    <mergeCell ref="B22:D22"/>
    <mergeCell ref="M20:N20"/>
    <mergeCell ref="B19:D19"/>
    <mergeCell ref="B17:D17"/>
    <mergeCell ref="G21:K21"/>
    <mergeCell ref="E22:F22"/>
    <mergeCell ref="M21:N21"/>
    <mergeCell ref="J14:K14"/>
    <mergeCell ref="E23:F23"/>
    <mergeCell ref="D8:I8"/>
    <mergeCell ref="C15:D15"/>
    <mergeCell ref="F14:I14"/>
    <mergeCell ref="B20:D20"/>
    <mergeCell ref="H16:K16"/>
    <mergeCell ref="E10:H13"/>
    <mergeCell ref="I10:I13"/>
    <mergeCell ref="B23:D23"/>
    <mergeCell ref="B10:B13"/>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W29"/>
  <sheetViews>
    <sheetView showGridLines="0" zoomScale="85" zoomScaleNormal="85" zoomScalePageLayoutView="0" workbookViewId="0" topLeftCell="A1">
      <selection activeCell="M29" sqref="M29"/>
    </sheetView>
  </sheetViews>
  <sheetFormatPr defaultColWidth="0" defaultRowHeight="13.5" customHeight="1" zeroHeight="1"/>
  <cols>
    <col min="1" max="1" width="5.00390625" style="328" customWidth="1"/>
    <col min="2" max="2" width="12.57421875" style="328" customWidth="1"/>
    <col min="3" max="3" width="9.57421875" style="329" customWidth="1"/>
    <col min="4" max="4" width="9.00390625" style="329" customWidth="1"/>
    <col min="5" max="5" width="7.7109375" style="329" customWidth="1"/>
    <col min="6" max="6" width="5.421875" style="329" customWidth="1"/>
    <col min="7" max="7" width="5.00390625" style="329" customWidth="1"/>
    <col min="8" max="8" width="6.421875" style="329" customWidth="1"/>
    <col min="9" max="10" width="6.8515625" style="329" customWidth="1"/>
    <col min="11" max="11" width="5.421875" style="329" customWidth="1"/>
    <col min="12" max="12" width="6.421875" style="329" customWidth="1"/>
    <col min="13" max="13" width="8.57421875" style="329" customWidth="1"/>
    <col min="14" max="14" width="8.140625" style="329" customWidth="1"/>
    <col min="15" max="15" width="6.57421875" style="329" customWidth="1"/>
    <col min="16" max="16" width="5.28125" style="329" customWidth="1"/>
    <col min="17" max="17" width="5.140625" style="329" customWidth="1"/>
    <col min="18" max="19" width="7.57421875" style="329" customWidth="1"/>
    <col min="20" max="20" width="7.8515625" style="329" customWidth="1"/>
    <col min="21" max="21" width="8.00390625" style="329" customWidth="1"/>
    <col min="22" max="22" width="7.421875" style="329" customWidth="1"/>
    <col min="23" max="23" width="3.28125" style="328" hidden="1" customWidth="1"/>
    <col min="24" max="69" width="9.140625" style="328" hidden="1" customWidth="1"/>
    <col min="70" max="16384" width="0" style="328" hidden="1" customWidth="1"/>
  </cols>
  <sheetData>
    <row r="1" spans="1:22" ht="15.75">
      <c r="A1" s="660" t="str">
        <f>DATA!AF51</f>
        <v>Statement Showing the Salary Particulars of : Sri. G.Venugopal, SGT, MPPS, NN Colony, Dhone, Mandal : Dhone</v>
      </c>
      <c r="B1" s="660"/>
      <c r="C1" s="660"/>
      <c r="D1" s="660"/>
      <c r="E1" s="660"/>
      <c r="F1" s="660"/>
      <c r="G1" s="660"/>
      <c r="H1" s="660"/>
      <c r="I1" s="660"/>
      <c r="J1" s="660"/>
      <c r="K1" s="660"/>
      <c r="L1" s="660"/>
      <c r="M1" s="660"/>
      <c r="N1" s="660"/>
      <c r="O1" s="660"/>
      <c r="P1" s="660"/>
      <c r="Q1" s="660"/>
      <c r="R1" s="660"/>
      <c r="S1" s="660"/>
      <c r="T1" s="660"/>
      <c r="U1" s="660"/>
      <c r="V1" s="660"/>
    </row>
    <row r="2" spans="1:22" ht="2.25" customHeight="1">
      <c r="A2" s="45"/>
      <c r="B2" s="45"/>
      <c r="C2" s="48"/>
      <c r="D2" s="48"/>
      <c r="E2" s="48"/>
      <c r="F2" s="48"/>
      <c r="G2" s="48"/>
      <c r="H2" s="48"/>
      <c r="I2" s="48"/>
      <c r="J2" s="48"/>
      <c r="K2" s="48"/>
      <c r="L2" s="48"/>
      <c r="M2" s="48"/>
      <c r="N2" s="48"/>
      <c r="O2" s="48"/>
      <c r="P2" s="48"/>
      <c r="Q2" s="48"/>
      <c r="R2" s="48"/>
      <c r="S2" s="48"/>
      <c r="T2" s="48"/>
      <c r="U2" s="48"/>
      <c r="V2" s="48"/>
    </row>
    <row r="3" spans="1:22" s="330" customFormat="1" ht="27" customHeight="1">
      <c r="A3" s="311" t="s">
        <v>0</v>
      </c>
      <c r="B3" s="311" t="s">
        <v>1</v>
      </c>
      <c r="C3" s="311" t="s">
        <v>2</v>
      </c>
      <c r="D3" s="311" t="s">
        <v>3</v>
      </c>
      <c r="E3" s="311" t="s">
        <v>4</v>
      </c>
      <c r="F3" s="311" t="s">
        <v>6</v>
      </c>
      <c r="G3" s="311" t="s">
        <v>7</v>
      </c>
      <c r="H3" s="311" t="s">
        <v>180</v>
      </c>
      <c r="I3" s="311" t="s">
        <v>510</v>
      </c>
      <c r="J3" s="311" t="s">
        <v>5</v>
      </c>
      <c r="K3" s="311" t="s">
        <v>186</v>
      </c>
      <c r="L3" s="311" t="s">
        <v>8</v>
      </c>
      <c r="M3" s="311" t="s">
        <v>182</v>
      </c>
      <c r="N3" s="311" t="str">
        <f>DATA!AB27</f>
        <v>ZP GPF</v>
      </c>
      <c r="O3" s="311" t="s">
        <v>11</v>
      </c>
      <c r="P3" s="311" t="s">
        <v>12</v>
      </c>
      <c r="Q3" s="311" t="s">
        <v>13</v>
      </c>
      <c r="R3" s="311" t="s">
        <v>599</v>
      </c>
      <c r="S3" s="311" t="s">
        <v>611</v>
      </c>
      <c r="T3" s="311" t="s">
        <v>181</v>
      </c>
      <c r="U3" s="526" t="s">
        <v>609</v>
      </c>
      <c r="V3" s="311" t="s">
        <v>183</v>
      </c>
    </row>
    <row r="4" spans="1:23" ht="17.25" customHeight="1">
      <c r="A4" s="46">
        <v>1</v>
      </c>
      <c r="B4" s="47" t="str">
        <f>DATA!AO23</f>
        <v>March,14</v>
      </c>
      <c r="C4" s="102">
        <f>DATA!AP23</f>
        <v>16150</v>
      </c>
      <c r="D4" s="102">
        <f>ROUND(C4*63.334/100,0.1)</f>
        <v>10228</v>
      </c>
      <c r="E4" s="102">
        <f>IF(AND(DATA!P35=30,ROUND(C4*DATA!P35/100,0.1)&gt;12000),12000,IF(AND(DATA!P35=30,ROUND(C4*DATA!P35/100,0.1)&lt;=12000),ROUND(C4*DATA!P35/100,0.1),IF(AND(DATA!P35&lt;30,ROUND(C4*DATA!P35/100,0.1)&gt;8000),8000,IF(AND(DATA!P35&lt;30,ROUND(C4*DATA!P35/100,0.1)&lt;=8000),ROUND(C4*DATA!P35/100,0.1)))))</f>
        <v>1938</v>
      </c>
      <c r="F4" s="102">
        <f>DATA!AC33</f>
        <v>0</v>
      </c>
      <c r="G4" s="102">
        <f>DATA!L5</f>
        <v>0</v>
      </c>
      <c r="H4" s="102">
        <f>DATA!N5</f>
        <v>0</v>
      </c>
      <c r="I4" s="102">
        <f>DATA!P5</f>
        <v>0</v>
      </c>
      <c r="J4" s="102">
        <f aca="true" t="shared" si="0" ref="J4:J13">ROUND(C4*27%,0.1)</f>
        <v>4361</v>
      </c>
      <c r="K4" s="102">
        <f>DATA!R35</f>
        <v>0</v>
      </c>
      <c r="L4" s="103">
        <f>IF(AND(DATA!$AC$52=2),0,IF(AND(ROUND(C4/10,0.1)&lt;900),(ROUND(C4/10,0.1)),IF(AND(ROUND(C4/10,0.1)&gt;900),900)))</f>
        <v>0</v>
      </c>
      <c r="M4" s="102">
        <f>SUM(C4:L4)</f>
        <v>32677</v>
      </c>
      <c r="N4" s="102">
        <f>IF(AND(DATA!AA27=3),ROUND('Annexure -I'!C4/10,0.1)+ROUND('Annexure -I'!D4/10,0.1),DATA!S35)</f>
        <v>1500</v>
      </c>
      <c r="O4" s="102">
        <f>DATA!T35</f>
        <v>450</v>
      </c>
      <c r="P4" s="102">
        <f>DATA!AE18</f>
        <v>60</v>
      </c>
      <c r="Q4" s="104">
        <f>IF(AND(DATA!AC52=1),0,IF(AND(M4&gt;5000,M4&lt;=6000),60,IF(AND(M4&gt;6000,M4&lt;=10000),80,IF(AND(M4&gt;10000,M4&lt;=15000),100,IF(AND(M4&gt;15000,M4&lt;=20000),150,IF(AND(M4&gt;20000),200))))))</f>
        <v>200</v>
      </c>
      <c r="R4" s="104">
        <f>DATA!P19</f>
        <v>0</v>
      </c>
      <c r="S4" s="104">
        <v>0</v>
      </c>
      <c r="T4" s="102">
        <f>DATA!E17</f>
        <v>0</v>
      </c>
      <c r="U4" s="102">
        <f>IF(DATA!H39=1,50,20)</f>
        <v>20</v>
      </c>
      <c r="V4" s="102">
        <f aca="true" t="shared" si="1" ref="V4:V23">SUM(N4:U4)</f>
        <v>2230</v>
      </c>
      <c r="W4" s="329"/>
    </row>
    <row r="5" spans="1:23" ht="17.25" customHeight="1">
      <c r="A5" s="46">
        <v>2</v>
      </c>
      <c r="B5" s="47" t="str">
        <f>DATA!AO24</f>
        <v>April,14</v>
      </c>
      <c r="C5" s="102">
        <f>DATA!AP24</f>
        <v>16150</v>
      </c>
      <c r="D5" s="102">
        <f>ROUND(C5*63.334/100,0.1)</f>
        <v>10228</v>
      </c>
      <c r="E5" s="102">
        <f>IF(AND(DATA!P36=30,ROUND(C5*DATA!P36/100,0.1)&gt;12000),12000,IF(AND(DATA!P36=30,ROUND(C5*DATA!P36/100,0.1)&lt;=12000),ROUND(C5*DATA!P36/100,0.1),IF(AND(DATA!P36&lt;30,ROUND(C5*DATA!P36/100,0.1)&gt;8000),8000,IF(AND(DATA!P36&lt;30,ROUND(C5*DATA!P36/100,0.1)&lt;=8000),ROUND(C5*DATA!P36/100,0.1)))))</f>
        <v>1938</v>
      </c>
      <c r="F5" s="102">
        <f aca="true" t="shared" si="2" ref="F5:F15">F4</f>
        <v>0</v>
      </c>
      <c r="G5" s="102">
        <f aca="true" t="shared" si="3" ref="G5:G15">G4</f>
        <v>0</v>
      </c>
      <c r="H5" s="102">
        <f aca="true" t="shared" si="4" ref="H5:H15">H4</f>
        <v>0</v>
      </c>
      <c r="I5" s="102">
        <f aca="true" t="shared" si="5" ref="I5:I15">I4</f>
        <v>0</v>
      </c>
      <c r="J5" s="102">
        <f t="shared" si="0"/>
        <v>4361</v>
      </c>
      <c r="K5" s="102">
        <f>DATA!R36</f>
        <v>0</v>
      </c>
      <c r="L5" s="103">
        <f>IF(AND(DATA!$AC$52=2),0,IF(AND(ROUND(C5/10,0.1)&lt;900),(ROUND(C5/10,0.1)),IF(AND(ROUND(C5/10,0.1)&gt;900),900)))</f>
        <v>0</v>
      </c>
      <c r="M5" s="102">
        <f aca="true" t="shared" si="6" ref="M5:M23">SUM(C5:L5)</f>
        <v>32677</v>
      </c>
      <c r="N5" s="102">
        <f>IF(AND(DATA!AA27=3),ROUND('Annexure -I'!C5/10,0.1)+ROUND('Annexure -I'!D5/10,0.1),DATA!$S$36)</f>
        <v>1500</v>
      </c>
      <c r="O5" s="102">
        <f>DATA!T36</f>
        <v>450</v>
      </c>
      <c r="P5" s="102">
        <f aca="true" t="shared" si="7" ref="P5:P15">P4</f>
        <v>60</v>
      </c>
      <c r="Q5" s="104">
        <f>IF(AND(DATA!AC52=1),0,IF(AND(M5&gt;5000,M5&lt;=6000),60,IF(AND(M5&gt;6000,M5&lt;=10000),80,IF(AND(M5&gt;10000,M5&lt;=15000),100,IF(AND(M5&gt;15000,M5&lt;=20000),150,IF(AND(M5&gt;20000),200))))))</f>
        <v>200</v>
      </c>
      <c r="R5" s="104">
        <f>DATA!P20</f>
        <v>0</v>
      </c>
      <c r="S5" s="104">
        <v>0</v>
      </c>
      <c r="T5" s="102">
        <f aca="true" t="shared" si="8" ref="T5:T15">T4</f>
        <v>0</v>
      </c>
      <c r="U5" s="102">
        <v>0</v>
      </c>
      <c r="V5" s="102">
        <f t="shared" si="1"/>
        <v>2210</v>
      </c>
      <c r="W5" s="329"/>
    </row>
    <row r="6" spans="1:23" ht="17.25" customHeight="1">
      <c r="A6" s="46">
        <v>3</v>
      </c>
      <c r="B6" s="47" t="str">
        <f>DATA!AO25</f>
        <v>May,14</v>
      </c>
      <c r="C6" s="102">
        <f>DATA!AP25</f>
        <v>16150</v>
      </c>
      <c r="D6" s="102">
        <f>ROUND(C6*71.904/100,0.1)</f>
        <v>11612</v>
      </c>
      <c r="E6" s="102">
        <f>IF(AND(DATA!P37=30,ROUND(C6*DATA!P37/100,0.1)&gt;12000),12000,IF(AND(DATA!P37=30,ROUND(C6*DATA!P37/100,0.1)&lt;=12000),ROUND(C6*DATA!P37/100,0.1),IF(AND(DATA!P37&lt;30,ROUND(C6*DATA!P37/100,0.1)&gt;8000),8000,IF(AND(DATA!P37&lt;30,ROUND(C6*DATA!P37/100,0.1)&lt;=8000),ROUND(C6*DATA!P37/100,0.1)))))</f>
        <v>1938</v>
      </c>
      <c r="F6" s="102">
        <f t="shared" si="2"/>
        <v>0</v>
      </c>
      <c r="G6" s="102">
        <f t="shared" si="3"/>
        <v>0</v>
      </c>
      <c r="H6" s="102">
        <f t="shared" si="4"/>
        <v>0</v>
      </c>
      <c r="I6" s="102">
        <f t="shared" si="5"/>
        <v>0</v>
      </c>
      <c r="J6" s="102">
        <f t="shared" si="0"/>
        <v>4361</v>
      </c>
      <c r="K6" s="102">
        <f>DATA!R37</f>
        <v>0</v>
      </c>
      <c r="L6" s="103">
        <f>IF(AND(DATA!$AC$52=2),0,IF(AND(ROUND(C6/10,0.1)&lt;900),(ROUND(C6/10,0.1)),IF(AND(ROUND(C6/10,0.1)&gt;900),900)))</f>
        <v>0</v>
      </c>
      <c r="M6" s="102">
        <f t="shared" si="6"/>
        <v>34061</v>
      </c>
      <c r="N6" s="102">
        <f>IF(AND(DATA!AA27=3),ROUND('Annexure -I'!C6/10,0.1)+ROUND('Annexure -I'!D6/10,0.1),DATA!$S$37)</f>
        <v>1500</v>
      </c>
      <c r="O6" s="102">
        <f>DATA!T37</f>
        <v>450</v>
      </c>
      <c r="P6" s="102">
        <f t="shared" si="7"/>
        <v>60</v>
      </c>
      <c r="Q6" s="104">
        <f>IF(AND(DATA!AC52=1),0,IF(AND(M6&gt;5000,M6&lt;=6000),60,IF(AND(M6&gt;6000,M6&lt;=10000),80,IF(AND(M6&gt;10000,M6&lt;=15000),100,IF(AND(M6&gt;15000,M6&lt;=20000),150,IF(AND(M6&gt;20000),200))))))</f>
        <v>200</v>
      </c>
      <c r="R6" s="104">
        <f>DATA!P21</f>
        <v>0</v>
      </c>
      <c r="S6" s="104">
        <v>0</v>
      </c>
      <c r="T6" s="102">
        <f t="shared" si="8"/>
        <v>0</v>
      </c>
      <c r="U6" s="102">
        <v>0</v>
      </c>
      <c r="V6" s="102">
        <f t="shared" si="1"/>
        <v>2210</v>
      </c>
      <c r="W6" s="329"/>
    </row>
    <row r="7" spans="1:23" ht="17.25" customHeight="1">
      <c r="A7" s="46">
        <v>4</v>
      </c>
      <c r="B7" s="47" t="str">
        <f>DATA!AO26</f>
        <v>June,14</v>
      </c>
      <c r="C7" s="102">
        <f>DATA!AP26</f>
        <v>16150</v>
      </c>
      <c r="D7" s="102">
        <f>ROUND(C7*71.904/100,0.1)</f>
        <v>11612</v>
      </c>
      <c r="E7" s="102">
        <f>IF(AND(DATA!P38=30,ROUND(C7*DATA!P38/100,0.1)&gt;12000),12000,IF(AND(DATA!P38=30,ROUND(C7*DATA!P38/100,0.1)&lt;=12000),ROUND(C7*DATA!P38/100,0.1),IF(AND(DATA!P38&lt;30,ROUND(C7*DATA!P38/100,0.1)&gt;8000),8000,IF(AND(DATA!P38&lt;30,ROUND(C7*DATA!P38/100,0.1)&lt;=8000),ROUND(C7*DATA!P38/100,0.1)))))</f>
        <v>1938</v>
      </c>
      <c r="F7" s="102">
        <f t="shared" si="2"/>
        <v>0</v>
      </c>
      <c r="G7" s="102">
        <f t="shared" si="3"/>
        <v>0</v>
      </c>
      <c r="H7" s="102">
        <f t="shared" si="4"/>
        <v>0</v>
      </c>
      <c r="I7" s="102">
        <f t="shared" si="5"/>
        <v>0</v>
      </c>
      <c r="J7" s="102">
        <f t="shared" si="0"/>
        <v>4361</v>
      </c>
      <c r="K7" s="102">
        <f>DATA!R38</f>
        <v>0</v>
      </c>
      <c r="L7" s="103">
        <f>IF(AND(DATA!$AC$52=2),0,IF(AND(ROUND(C7/10,0.1)&lt;900),(ROUND(C7/10,0.1)),IF(AND(ROUND(C7/10,0.1)&gt;900),900)))</f>
        <v>0</v>
      </c>
      <c r="M7" s="102">
        <f t="shared" si="6"/>
        <v>34061</v>
      </c>
      <c r="N7" s="102">
        <f>IF(AND(DATA!AA27=3),ROUND('Annexure -I'!C7/10,0.1)+ROUND('Annexure -I'!D7/10,0.1),DATA!$S$38)</f>
        <v>1500</v>
      </c>
      <c r="O7" s="102">
        <f>DATA!T38</f>
        <v>450</v>
      </c>
      <c r="P7" s="102">
        <f t="shared" si="7"/>
        <v>60</v>
      </c>
      <c r="Q7" s="104">
        <f>IF(AND(DATA!AC52=1),0,IF(AND(M7&gt;5000,M7&lt;=6000),60,IF(AND(M7&gt;6000,M7&lt;=10000),80,IF(AND(M7&gt;10000,M7&lt;=15000),100,IF(AND(M7&gt;15000,M7&lt;=20000),150,IF(AND(M7&gt;20000),200))))))</f>
        <v>200</v>
      </c>
      <c r="R7" s="104">
        <f>DATA!P22</f>
        <v>0</v>
      </c>
      <c r="S7" s="104">
        <v>0</v>
      </c>
      <c r="T7" s="102">
        <f t="shared" si="8"/>
        <v>0</v>
      </c>
      <c r="U7" s="102">
        <v>0</v>
      </c>
      <c r="V7" s="102">
        <f t="shared" si="1"/>
        <v>2210</v>
      </c>
      <c r="W7" s="329"/>
    </row>
    <row r="8" spans="1:23" ht="17.25" customHeight="1">
      <c r="A8" s="46">
        <v>5</v>
      </c>
      <c r="B8" s="47" t="str">
        <f>DATA!AO27</f>
        <v>July,14</v>
      </c>
      <c r="C8" s="102">
        <f>DATA!AP27</f>
        <v>16150</v>
      </c>
      <c r="D8" s="102">
        <f>ROUND(C8*71.904/100,0.1)</f>
        <v>11612</v>
      </c>
      <c r="E8" s="102">
        <f>IF(AND(DATA!P39=30,ROUND(C8*DATA!P39/100,0.1)&gt;12000),12000,IF(AND(DATA!P39=30,ROUND(C8*DATA!P39/100,0.1)&lt;=12000),ROUND(C8*DATA!P39/100,0.1),IF(AND(DATA!P39&lt;30,ROUND(C8*DATA!P39/100,0.1)&gt;8000),8000,IF(AND(DATA!P39&lt;30,ROUND(C8*DATA!P39/100,0.1)&lt;=8000),ROUND(C8*DATA!P39/100,0.1)))))</f>
        <v>1938</v>
      </c>
      <c r="F8" s="102">
        <f t="shared" si="2"/>
        <v>0</v>
      </c>
      <c r="G8" s="102">
        <f t="shared" si="3"/>
        <v>0</v>
      </c>
      <c r="H8" s="102">
        <f t="shared" si="4"/>
        <v>0</v>
      </c>
      <c r="I8" s="102">
        <f t="shared" si="5"/>
        <v>0</v>
      </c>
      <c r="J8" s="102">
        <f t="shared" si="0"/>
        <v>4361</v>
      </c>
      <c r="K8" s="102">
        <f>DATA!R39</f>
        <v>0</v>
      </c>
      <c r="L8" s="103">
        <f>IF(AND(DATA!$AC$52=2),0,IF(AND(ROUND(C8/10,0.1)&lt;900),(ROUND(C8/10,0.1)),IF(AND(ROUND(C8/10,0.1)&gt;900),900)))</f>
        <v>0</v>
      </c>
      <c r="M8" s="102">
        <f t="shared" si="6"/>
        <v>34061</v>
      </c>
      <c r="N8" s="102">
        <f>IF(AND(DATA!AA27=3),ROUND('Annexure -I'!C8/10,0.1)+ROUND('Annexure -I'!D8/10,0.1),DATA!$S$39)</f>
        <v>1500</v>
      </c>
      <c r="O8" s="102">
        <f>DATA!T39</f>
        <v>450</v>
      </c>
      <c r="P8" s="102">
        <f t="shared" si="7"/>
        <v>60</v>
      </c>
      <c r="Q8" s="104">
        <f>IF(AND(DATA!AC52=1),0,IF(AND(M8&gt;5000,M8&lt;=6000),60,IF(AND(M8&gt;6000,M8&lt;=10000),80,IF(AND(M8&gt;10000,M8&lt;=15000),100,IF(AND(M8&gt;15000,M8&lt;=20000),150,IF(AND(M8&gt;20000),200))))))</f>
        <v>200</v>
      </c>
      <c r="R8" s="104">
        <f>DATA!P23</f>
        <v>0</v>
      </c>
      <c r="S8" s="104">
        <v>0</v>
      </c>
      <c r="T8" s="102">
        <f t="shared" si="8"/>
        <v>0</v>
      </c>
      <c r="U8" s="102">
        <v>0</v>
      </c>
      <c r="V8" s="102">
        <f t="shared" si="1"/>
        <v>2210</v>
      </c>
      <c r="W8" s="329"/>
    </row>
    <row r="9" spans="1:23" ht="17.25" customHeight="1">
      <c r="A9" s="46">
        <v>6</v>
      </c>
      <c r="B9" s="47" t="str">
        <f>DATA!AO28</f>
        <v>Aug,14</v>
      </c>
      <c r="C9" s="102">
        <f>DATA!AP28</f>
        <v>16600</v>
      </c>
      <c r="D9" s="102">
        <f>ROUND(C9*71.904/100,0.1)</f>
        <v>11936</v>
      </c>
      <c r="E9" s="102">
        <f>IF(AND(DATA!P40=30,ROUND(C9*DATA!P40/100,0.1)&gt;12000),12000,IF(AND(DATA!P40=30,ROUND(C9*DATA!P40/100,0.1)&lt;=12000),ROUND(C9*DATA!P40/100,0.1),IF(AND(DATA!P40&lt;30,ROUND(C9*DATA!P40/100,0.1)&gt;8000),8000,IF(AND(DATA!P40&lt;30,ROUND(C9*DATA!P40/100,0.1)&lt;=8000),ROUND(C9*DATA!P40/100,0.1)))))</f>
        <v>1992</v>
      </c>
      <c r="F9" s="102">
        <f t="shared" si="2"/>
        <v>0</v>
      </c>
      <c r="G9" s="102">
        <f t="shared" si="3"/>
        <v>0</v>
      </c>
      <c r="H9" s="102">
        <f t="shared" si="4"/>
        <v>0</v>
      </c>
      <c r="I9" s="102">
        <f t="shared" si="5"/>
        <v>0</v>
      </c>
      <c r="J9" s="102">
        <f t="shared" si="0"/>
        <v>4482</v>
      </c>
      <c r="K9" s="102">
        <f>DATA!R40</f>
        <v>0</v>
      </c>
      <c r="L9" s="103">
        <f>IF(AND(DATA!AC52=2),0,IF(AND(ROUND(C9/10,0.1)&lt;900),(ROUND(C9/10,0.1)),IF(AND(ROUND(C9/10,0.1)&gt;900),900)))</f>
        <v>0</v>
      </c>
      <c r="M9" s="102">
        <f t="shared" si="6"/>
        <v>35010</v>
      </c>
      <c r="N9" s="102">
        <f>IF(AND(DATA!AA27=3),ROUND('Annexure -I'!C9/10,0.1)+ROUND('Annexure -I'!D9/10,0.1),DATA!$S$40)</f>
        <v>1500</v>
      </c>
      <c r="O9" s="102">
        <f>DATA!T40</f>
        <v>450</v>
      </c>
      <c r="P9" s="102">
        <f t="shared" si="7"/>
        <v>60</v>
      </c>
      <c r="Q9" s="104">
        <f>IF(AND(DATA!AC52=1),0,IF(AND(M9&gt;5000,M9&lt;=6000),60,IF(AND(M9&gt;6000,M9&lt;=10000),80,IF(AND(M9&gt;10000,M9&lt;=15000),100,IF(AND(M9&gt;15000,M9&lt;=20000),150,IF(AND(M9&gt;20000),200))))))</f>
        <v>200</v>
      </c>
      <c r="R9" s="104">
        <f>DATA!P24</f>
        <v>0</v>
      </c>
      <c r="S9" s="104">
        <v>0</v>
      </c>
      <c r="T9" s="102">
        <f t="shared" si="8"/>
        <v>0</v>
      </c>
      <c r="U9" s="102">
        <f>ROUND((C9*1/31),0.1)</f>
        <v>535</v>
      </c>
      <c r="V9" s="102">
        <f t="shared" si="1"/>
        <v>2745</v>
      </c>
      <c r="W9" s="329"/>
    </row>
    <row r="10" spans="1:23" ht="17.25" customHeight="1">
      <c r="A10" s="46">
        <v>7</v>
      </c>
      <c r="B10" s="47" t="str">
        <f>DATA!AO29</f>
        <v>Sept,14</v>
      </c>
      <c r="C10" s="102">
        <f>DATA!AP29</f>
        <v>16600</v>
      </c>
      <c r="D10" s="102">
        <f>ROUND(C10*71.904/100,0.1)</f>
        <v>11936</v>
      </c>
      <c r="E10" s="102">
        <f>IF(AND(DATA!P41=30,ROUND(C10*DATA!P41/100,0.1)&gt;12000),12000,IF(AND(DATA!P41=30,ROUND(C10*DATA!P41/100,0.1)&lt;=12000),ROUND(C10*DATA!P41/100,0.1),IF(AND(DATA!P41&lt;30,ROUND(C10*DATA!P41/100,0.1)&gt;8000),8000,IF(AND(DATA!P41&lt;30,ROUND(C10*DATA!P41/100,0.1)&lt;=8000),ROUND(C10*DATA!P41/100,0.1)))))</f>
        <v>1992</v>
      </c>
      <c r="F10" s="102">
        <f t="shared" si="2"/>
        <v>0</v>
      </c>
      <c r="G10" s="102">
        <f t="shared" si="3"/>
        <v>0</v>
      </c>
      <c r="H10" s="102">
        <f t="shared" si="4"/>
        <v>0</v>
      </c>
      <c r="I10" s="102">
        <f t="shared" si="5"/>
        <v>0</v>
      </c>
      <c r="J10" s="102">
        <f t="shared" si="0"/>
        <v>4482</v>
      </c>
      <c r="K10" s="102">
        <f>DATA!R41</f>
        <v>0</v>
      </c>
      <c r="L10" s="103">
        <f>IF(AND(DATA!AC52=2),0,IF(AND(ROUND(C10/10,0.1)&lt;900),(ROUND(C10/10,0.1)),IF(AND(ROUND(C10/10,0.1)&gt;900),900)))</f>
        <v>0</v>
      </c>
      <c r="M10" s="102">
        <f t="shared" si="6"/>
        <v>35010</v>
      </c>
      <c r="N10" s="102">
        <f>IF(AND(DATA!AA27=3),ROUND('Annexure -I'!C10/10,0.1)+ROUND('Annexure -I'!D10/10,0.1),DATA!$S$41)</f>
        <v>1500</v>
      </c>
      <c r="O10" s="102">
        <f>DATA!T41</f>
        <v>450</v>
      </c>
      <c r="P10" s="102">
        <f t="shared" si="7"/>
        <v>60</v>
      </c>
      <c r="Q10" s="104">
        <f>IF(AND(DATA!AC52=1),0,IF(AND(M10&gt;5000,M10&lt;=6000),60,IF(AND(M10&gt;6000,M10&lt;=10000),80,IF(AND(M10&gt;10000,M10&lt;=15000),100,IF(AND(M10&gt;15000,M10&lt;=20000),150,IF(AND(M10&gt;20000),200))))))</f>
        <v>200</v>
      </c>
      <c r="R10" s="104">
        <f>DATA!P25</f>
        <v>0</v>
      </c>
      <c r="S10" s="104">
        <v>0</v>
      </c>
      <c r="T10" s="102">
        <f t="shared" si="8"/>
        <v>0</v>
      </c>
      <c r="U10" s="102">
        <v>0</v>
      </c>
      <c r="V10" s="102">
        <f t="shared" si="1"/>
        <v>2210</v>
      </c>
      <c r="W10" s="329"/>
    </row>
    <row r="11" spans="1:23" ht="17.25" customHeight="1">
      <c r="A11" s="46">
        <v>8</v>
      </c>
      <c r="B11" s="47" t="str">
        <f>DATA!AO30</f>
        <v>Oct,14</v>
      </c>
      <c r="C11" s="102">
        <f>DATA!AP30</f>
        <v>16600</v>
      </c>
      <c r="D11" s="102">
        <f>ROUND(C11*77.896/100,0.1)</f>
        <v>12931</v>
      </c>
      <c r="E11" s="102">
        <f>IF(AND(DATA!P42=30,ROUND(C11*DATA!P42/100,0.1)&gt;12000),12000,IF(AND(DATA!P42=30,ROUND(C11*DATA!P42/100,0.1)&lt;=12000),ROUND(C11*DATA!P42/100,0.1),IF(AND(DATA!P42&lt;30,ROUND(C11*DATA!P42/100,0.1)&gt;8000),8000,IF(AND(DATA!P42&lt;30,ROUND(C11*DATA!P42/100,0.1)&lt;=8000),ROUND(C11*DATA!P42/100,0.1)))))</f>
        <v>1992</v>
      </c>
      <c r="F11" s="102">
        <f t="shared" si="2"/>
        <v>0</v>
      </c>
      <c r="G11" s="102">
        <f t="shared" si="3"/>
        <v>0</v>
      </c>
      <c r="H11" s="102">
        <f t="shared" si="4"/>
        <v>0</v>
      </c>
      <c r="I11" s="102">
        <f t="shared" si="5"/>
        <v>0</v>
      </c>
      <c r="J11" s="102">
        <f t="shared" si="0"/>
        <v>4482</v>
      </c>
      <c r="K11" s="102">
        <f>DATA!R42</f>
        <v>0</v>
      </c>
      <c r="L11" s="103">
        <f>IF(AND(DATA!AC52=2),0,IF(AND(ROUND(C11/10,0.1)&lt;900),(ROUND(C11/10,0.1)),IF(AND(ROUND(C11/10,0.1)&gt;900),900)))</f>
        <v>0</v>
      </c>
      <c r="M11" s="102">
        <f t="shared" si="6"/>
        <v>36005</v>
      </c>
      <c r="N11" s="102">
        <f>IF(AND(DATA!AA27=3),ROUND('Annexure -I'!C11/10,0.1)+ROUND('Annexure -I'!D11/10,0.1),DATA!$S$42)</f>
        <v>1500</v>
      </c>
      <c r="O11" s="102">
        <f>DATA!T42</f>
        <v>450</v>
      </c>
      <c r="P11" s="102">
        <f t="shared" si="7"/>
        <v>60</v>
      </c>
      <c r="Q11" s="104">
        <f>IF(AND(DATA!AC52=1),0,IF(AND(M11&gt;5000,M11&lt;=6000),60,IF(AND(M11&gt;6000,M11&lt;=10000),80,IF(AND(M11&gt;10000,M11&lt;=15000),100,IF(AND(M11&gt;15000,M11&lt;=20000),150,IF(AND(M11&gt;20000),200))))))</f>
        <v>200</v>
      </c>
      <c r="R11" s="104">
        <f>DATA!P26</f>
        <v>0</v>
      </c>
      <c r="S11" s="104">
        <v>0</v>
      </c>
      <c r="T11" s="102">
        <f t="shared" si="8"/>
        <v>0</v>
      </c>
      <c r="U11" s="102">
        <v>0</v>
      </c>
      <c r="V11" s="102">
        <f t="shared" si="1"/>
        <v>2210</v>
      </c>
      <c r="W11" s="329"/>
    </row>
    <row r="12" spans="1:23" ht="17.25" customHeight="1">
      <c r="A12" s="46">
        <v>9</v>
      </c>
      <c r="B12" s="47" t="str">
        <f>DATA!AO31</f>
        <v>Nov,14</v>
      </c>
      <c r="C12" s="102">
        <f>DATA!AP31</f>
        <v>16600</v>
      </c>
      <c r="D12" s="102">
        <f>ROUND(C12*77.896/100,0.1)</f>
        <v>12931</v>
      </c>
      <c r="E12" s="102">
        <f>IF(AND(DATA!P43=30,ROUND(C12*DATA!P43/100,0.1)&gt;12000),12000,IF(AND(DATA!P43=30,ROUND(C12*DATA!P43/100,0.1)&lt;=12000),ROUND(C12*DATA!P43/100,0.1),IF(AND(DATA!P43&lt;30,ROUND(C12*DATA!P43/100,0.1)&gt;8000),8000,IF(AND(DATA!P43&lt;30,ROUND(C12*DATA!P43/100,0.1)&lt;=8000),ROUND(C12*DATA!P43/100,0.1)))))</f>
        <v>1992</v>
      </c>
      <c r="F12" s="102">
        <f t="shared" si="2"/>
        <v>0</v>
      </c>
      <c r="G12" s="102">
        <f t="shared" si="3"/>
        <v>0</v>
      </c>
      <c r="H12" s="102">
        <f t="shared" si="4"/>
        <v>0</v>
      </c>
      <c r="I12" s="102">
        <f t="shared" si="5"/>
        <v>0</v>
      </c>
      <c r="J12" s="102">
        <f t="shared" si="0"/>
        <v>4482</v>
      </c>
      <c r="K12" s="102">
        <f>DATA!R43</f>
        <v>0</v>
      </c>
      <c r="L12" s="103">
        <f>IF(AND(DATA!AC52=2),0,IF(AND(ROUND(C12/10,0.1)&lt;900),(ROUND(C12/10,0.1)),IF(AND(ROUND(C12/10,0.1)&gt;900),900)))</f>
        <v>0</v>
      </c>
      <c r="M12" s="102">
        <f t="shared" si="6"/>
        <v>36005</v>
      </c>
      <c r="N12" s="102">
        <f>IF(AND(DATA!AA27=3),ROUND('Annexure -I'!C12/10,0.1)+ROUND('Annexure -I'!D12/10,0.1),DATA!$S$43)</f>
        <v>1500</v>
      </c>
      <c r="O12" s="102">
        <f>DATA!T43</f>
        <v>450</v>
      </c>
      <c r="P12" s="102">
        <f t="shared" si="7"/>
        <v>60</v>
      </c>
      <c r="Q12" s="104">
        <f>IF(AND(DATA!AC52=1),0,IF(AND(M12&gt;5000,M12&lt;=6000),60,IF(AND(M12&gt;6000,M12&lt;=10000),80,IF(AND(M12&gt;10000,M12&lt;=15000),100,IF(AND(M12&gt;15000,M12&lt;=20000),150,IF(AND(M12&gt;20000),200))))))</f>
        <v>200</v>
      </c>
      <c r="R12" s="104">
        <f>DATA!P27</f>
        <v>0</v>
      </c>
      <c r="S12" s="104">
        <f>DATA!J5</f>
        <v>90</v>
      </c>
      <c r="T12" s="102">
        <f t="shared" si="8"/>
        <v>0</v>
      </c>
      <c r="U12" s="102">
        <f>ROUND((C12*2/30),0.1)</f>
        <v>1107</v>
      </c>
      <c r="V12" s="102">
        <f t="shared" si="1"/>
        <v>3407</v>
      </c>
      <c r="W12" s="329"/>
    </row>
    <row r="13" spans="1:23" ht="17.25" customHeight="1">
      <c r="A13" s="46">
        <v>10</v>
      </c>
      <c r="B13" s="47" t="str">
        <f>DATA!AO32</f>
        <v>Dec,14</v>
      </c>
      <c r="C13" s="102">
        <f>DATA!AP32</f>
        <v>16600</v>
      </c>
      <c r="D13" s="102">
        <f>ROUND(C13*77.896/100,0.1)</f>
        <v>12931</v>
      </c>
      <c r="E13" s="102">
        <f>IF(AND(DATA!P44=30,ROUND(C13*DATA!P44/100,0.1)&gt;12000),12000,IF(AND(DATA!P44=30,ROUND(C13*DATA!P44/100,0.1)&lt;=12000),ROUND(C13*DATA!P44/100,0.1),IF(AND(DATA!P44&lt;30,ROUND(C13*DATA!P44/100,0.1)&gt;8000),8000,IF(AND(DATA!P44&lt;30,ROUND(C13*DATA!P44/100,0.1)&lt;=8000),ROUND(C13*DATA!P44/100,0.1)))))</f>
        <v>1992</v>
      </c>
      <c r="F13" s="102">
        <f t="shared" si="2"/>
        <v>0</v>
      </c>
      <c r="G13" s="102">
        <f t="shared" si="3"/>
        <v>0</v>
      </c>
      <c r="H13" s="102">
        <f t="shared" si="4"/>
        <v>0</v>
      </c>
      <c r="I13" s="102">
        <f t="shared" si="5"/>
        <v>0</v>
      </c>
      <c r="J13" s="102">
        <f t="shared" si="0"/>
        <v>4482</v>
      </c>
      <c r="K13" s="102">
        <f>DATA!R44</f>
        <v>0</v>
      </c>
      <c r="L13" s="103">
        <f>IF(AND(DATA!AC52=2),0,IF(AND(ROUND(C13/10,0.1)&lt;900),(ROUND(C13/10,0.1)),IF(AND(ROUND(C13/10,0.1)&gt;900),900)))</f>
        <v>0</v>
      </c>
      <c r="M13" s="102">
        <f t="shared" si="6"/>
        <v>36005</v>
      </c>
      <c r="N13" s="102">
        <f>IF(AND(DATA!AA27=3),ROUND('Annexure -I'!C13/10,0.1)+ROUND('Annexure -I'!D13/10,0.1),DATA!$S$44)</f>
        <v>1500</v>
      </c>
      <c r="O13" s="102">
        <f>DATA!T44</f>
        <v>450</v>
      </c>
      <c r="P13" s="102">
        <f t="shared" si="7"/>
        <v>60</v>
      </c>
      <c r="Q13" s="104">
        <f>IF(AND(DATA!AC52=1),0,IF(AND(M13&gt;5000,M13&lt;=6000),60,IF(AND(M13&gt;6000,M13&lt;=10000),80,IF(AND(M13&gt;10000,M13&lt;=15000),100,IF(AND(M13&gt;15000,M13&lt;=20000),150,IF(AND(M13&gt;20000),200))))))</f>
        <v>200</v>
      </c>
      <c r="R13" s="104">
        <f>DATA!P28</f>
        <v>0</v>
      </c>
      <c r="S13" s="104">
        <f>S12</f>
        <v>90</v>
      </c>
      <c r="T13" s="102">
        <f t="shared" si="8"/>
        <v>0</v>
      </c>
      <c r="U13" s="102">
        <f>IF(DATA!H39=1,50,20)</f>
        <v>20</v>
      </c>
      <c r="V13" s="102">
        <f t="shared" si="1"/>
        <v>2320</v>
      </c>
      <c r="W13" s="329"/>
    </row>
    <row r="14" spans="1:23" ht="17.25" customHeight="1">
      <c r="A14" s="46">
        <v>11</v>
      </c>
      <c r="B14" s="47" t="str">
        <f>DATA!AO33</f>
        <v>Jan,15</v>
      </c>
      <c r="C14" s="102">
        <f>DATA!AP33</f>
        <v>16600</v>
      </c>
      <c r="D14" s="102">
        <f>ROUND(C14*77.896/100,0.1)</f>
        <v>12931</v>
      </c>
      <c r="E14" s="102">
        <f>IF(AND(DATA!P45=30,ROUND(C14*DATA!P45/100,0.1)&gt;12000),12000,IF(AND(DATA!P45=30,ROUND(C14*DATA!P45/100,0.1)&lt;=12000),ROUND(C14*DATA!P45/100,0.1),IF(AND(DATA!P45&lt;30,ROUND(C14*DATA!P45/100,0.1)&gt;8000),8000,IF(AND(DATA!P45&lt;30,ROUND(C14*DATA!P45/100,0.1)&lt;=8000),ROUND(C14*DATA!P45/100,0.1)))))</f>
        <v>1992</v>
      </c>
      <c r="F14" s="102">
        <f t="shared" si="2"/>
        <v>0</v>
      </c>
      <c r="G14" s="102">
        <f t="shared" si="3"/>
        <v>0</v>
      </c>
      <c r="H14" s="102">
        <f t="shared" si="4"/>
        <v>0</v>
      </c>
      <c r="I14" s="102">
        <f t="shared" si="5"/>
        <v>0</v>
      </c>
      <c r="J14" s="102">
        <f>ROUND(C14*27%,0.1)</f>
        <v>4482</v>
      </c>
      <c r="K14" s="102">
        <f>DATA!R45</f>
        <v>0</v>
      </c>
      <c r="L14" s="103">
        <f>IF(AND(DATA!AC52=2),0,IF(AND(ROUND(C14/10,0.1)&lt;900),(ROUND(C14/10,0.1)),IF(AND(ROUND(C14/10,0.1)&gt;900),900)))</f>
        <v>0</v>
      </c>
      <c r="M14" s="102">
        <f t="shared" si="6"/>
        <v>36005</v>
      </c>
      <c r="N14" s="102">
        <f>IF(AND(DATA!AA27=3),ROUND('Annexure -I'!C14/10,0.1)+ROUND('Annexure -I'!D14/10,0.1),DATA!$S$45)</f>
        <v>1500</v>
      </c>
      <c r="O14" s="102">
        <f>DATA!T45</f>
        <v>450</v>
      </c>
      <c r="P14" s="102">
        <f t="shared" si="7"/>
        <v>60</v>
      </c>
      <c r="Q14" s="104">
        <f>IF(AND(DATA!AC52=1),0,IF(AND(M14&gt;5000,M14&lt;=6000),60,IF(AND(M14&gt;6000,M14&lt;=10000),80,IF(AND(M14&gt;10000,M14&lt;=15000),100,IF(AND(M14&gt;15000,M14&lt;=20000),150,IF(AND(M14&gt;20000),200))))))</f>
        <v>200</v>
      </c>
      <c r="R14" s="104">
        <f>DATA!P29</f>
        <v>0</v>
      </c>
      <c r="S14" s="104">
        <f>S13</f>
        <v>90</v>
      </c>
      <c r="T14" s="102">
        <f t="shared" si="8"/>
        <v>0</v>
      </c>
      <c r="U14" s="102">
        <v>0</v>
      </c>
      <c r="V14" s="102">
        <f t="shared" si="1"/>
        <v>2300</v>
      </c>
      <c r="W14" s="329"/>
    </row>
    <row r="15" spans="1:23" ht="17.25" customHeight="1">
      <c r="A15" s="46">
        <v>12</v>
      </c>
      <c r="B15" s="47" t="str">
        <f>DATA!AO34</f>
        <v>Feb,15</v>
      </c>
      <c r="C15" s="102">
        <f>DATA!AP34</f>
        <v>16600</v>
      </c>
      <c r="D15" s="102">
        <f>ROUND(C15*77.896/100,0.1)</f>
        <v>12931</v>
      </c>
      <c r="E15" s="102">
        <f>IF(AND(DATA!P46=30,ROUND(C15*DATA!P46/100,0.1)&gt;12000),12000,IF(AND(DATA!P46=30,ROUND(C15*DATA!P46/100,0.1)&lt;=12000),ROUND(C15*DATA!P46/100,0.1),IF(AND(DATA!P46&lt;30,ROUND(C15*DATA!P46/100,0.1)&gt;8000),8000,IF(AND(DATA!P46&lt;30,ROUND(C15*DATA!P46/100,0.1)&lt;=8000),ROUND(C15*DATA!P46/100,0.1)))))</f>
        <v>1992</v>
      </c>
      <c r="F15" s="102">
        <f t="shared" si="2"/>
        <v>0</v>
      </c>
      <c r="G15" s="102">
        <f t="shared" si="3"/>
        <v>0</v>
      </c>
      <c r="H15" s="102">
        <f t="shared" si="4"/>
        <v>0</v>
      </c>
      <c r="I15" s="102">
        <f t="shared" si="5"/>
        <v>0</v>
      </c>
      <c r="J15" s="102">
        <f>ROUND(C15*27%,0.1)</f>
        <v>4482</v>
      </c>
      <c r="K15" s="102">
        <f>DATA!R46</f>
        <v>0</v>
      </c>
      <c r="L15" s="103">
        <f>IF(AND(DATA!AC52=2),0,IF(AND(ROUND(C15/10,0.1)&lt;900),(ROUND(C15/10,0.1)),IF(AND(ROUND(C15/10,0.1)&gt;900),900)))</f>
        <v>0</v>
      </c>
      <c r="M15" s="102">
        <f t="shared" si="6"/>
        <v>36005</v>
      </c>
      <c r="N15" s="102">
        <f>IF(AND(DATA!AA27=3),ROUND('Annexure -I'!C15/10,0.1)+ROUND('Annexure -I'!D15/10,0.1),DATA!$S$46)</f>
        <v>1500</v>
      </c>
      <c r="O15" s="102">
        <f>DATA!T46</f>
        <v>450</v>
      </c>
      <c r="P15" s="102">
        <f t="shared" si="7"/>
        <v>60</v>
      </c>
      <c r="Q15" s="104">
        <f>IF(AND(DATA!AC52=1),0,IF(AND(M15&gt;5000,M15&lt;=6000),60,IF(AND(M15&gt;6000,M15&lt;=10000),80,IF(AND(M15&gt;10000,M15&lt;=15000),100,IF(AND(M15&gt;15000,M15&lt;=20000),150,IF(AND(M15&gt;20000),200))))))</f>
        <v>200</v>
      </c>
      <c r="R15" s="104">
        <f>DATA!P30</f>
        <v>0</v>
      </c>
      <c r="S15" s="104">
        <f>S14</f>
        <v>90</v>
      </c>
      <c r="T15" s="102">
        <f t="shared" si="8"/>
        <v>0</v>
      </c>
      <c r="U15" s="102">
        <v>0</v>
      </c>
      <c r="V15" s="102">
        <f t="shared" si="1"/>
        <v>2300</v>
      </c>
      <c r="W15" s="329"/>
    </row>
    <row r="16" spans="1:23" ht="25.5" customHeight="1">
      <c r="A16" s="46">
        <v>13</v>
      </c>
      <c r="B16" s="314" t="str">
        <f>CONCATENATE("Surrender Leave                                 ",DATA!BK55)</f>
        <v>Surrender Leave                                 Not Availed</v>
      </c>
      <c r="C16" s="102">
        <v>0</v>
      </c>
      <c r="D16" s="102">
        <v>0</v>
      </c>
      <c r="E16" s="102">
        <v>0</v>
      </c>
      <c r="F16" s="102">
        <v>0</v>
      </c>
      <c r="G16" s="102">
        <v>0</v>
      </c>
      <c r="H16" s="102">
        <v>0</v>
      </c>
      <c r="I16" s="102">
        <f>DATA!BV83</f>
        <v>0</v>
      </c>
      <c r="J16" s="102">
        <v>0</v>
      </c>
      <c r="K16" s="102">
        <v>0</v>
      </c>
      <c r="L16" s="102">
        <v>0</v>
      </c>
      <c r="M16" s="102">
        <f t="shared" si="6"/>
        <v>0</v>
      </c>
      <c r="N16" s="102">
        <v>0</v>
      </c>
      <c r="O16" s="102">
        <v>0</v>
      </c>
      <c r="P16" s="102">
        <v>0</v>
      </c>
      <c r="Q16" s="102">
        <v>0</v>
      </c>
      <c r="R16" s="102">
        <v>0</v>
      </c>
      <c r="S16" s="102">
        <v>0</v>
      </c>
      <c r="T16" s="102">
        <v>0</v>
      </c>
      <c r="U16" s="102">
        <v>0</v>
      </c>
      <c r="V16" s="102">
        <f t="shared" si="1"/>
        <v>0</v>
      </c>
      <c r="W16" s="329"/>
    </row>
    <row r="17" spans="1:23" ht="24.75" customHeight="1">
      <c r="A17" s="46">
        <v>14</v>
      </c>
      <c r="B17" s="308" t="s">
        <v>601</v>
      </c>
      <c r="C17" s="107">
        <v>0</v>
      </c>
      <c r="D17" s="106">
        <f>DATA!AP89</f>
        <v>5528</v>
      </c>
      <c r="E17" s="102">
        <v>0</v>
      </c>
      <c r="F17" s="102">
        <v>0</v>
      </c>
      <c r="G17" s="102">
        <v>0</v>
      </c>
      <c r="H17" s="102">
        <v>0</v>
      </c>
      <c r="I17" s="102">
        <v>0</v>
      </c>
      <c r="J17" s="102">
        <v>0</v>
      </c>
      <c r="K17" s="102">
        <v>0</v>
      </c>
      <c r="L17" s="102">
        <v>0</v>
      </c>
      <c r="M17" s="102">
        <f t="shared" si="6"/>
        <v>5528</v>
      </c>
      <c r="N17" s="106">
        <f>IF(DATA!$AA$27=3,DATA!$AT$89,DATA!$AP$89)</f>
        <v>5528</v>
      </c>
      <c r="O17" s="102">
        <v>0</v>
      </c>
      <c r="P17" s="102">
        <v>0</v>
      </c>
      <c r="Q17" s="102">
        <v>0</v>
      </c>
      <c r="R17" s="102">
        <v>0</v>
      </c>
      <c r="S17" s="102">
        <v>0</v>
      </c>
      <c r="T17" s="102">
        <v>0</v>
      </c>
      <c r="U17" s="102">
        <v>0</v>
      </c>
      <c r="V17" s="102">
        <f t="shared" si="1"/>
        <v>5528</v>
      </c>
      <c r="W17" s="329"/>
    </row>
    <row r="18" spans="1:23" ht="27" customHeight="1">
      <c r="A18" s="46">
        <v>15</v>
      </c>
      <c r="B18" s="308" t="s">
        <v>602</v>
      </c>
      <c r="C18" s="107">
        <v>0</v>
      </c>
      <c r="D18" s="106">
        <f>DATA!AO102</f>
        <v>2958</v>
      </c>
      <c r="E18" s="102">
        <v>0</v>
      </c>
      <c r="F18" s="102">
        <v>0</v>
      </c>
      <c r="G18" s="102">
        <v>0</v>
      </c>
      <c r="H18" s="102">
        <v>0</v>
      </c>
      <c r="I18" s="102">
        <v>0</v>
      </c>
      <c r="J18" s="102">
        <v>0</v>
      </c>
      <c r="K18" s="102">
        <v>0</v>
      </c>
      <c r="L18" s="102">
        <v>0</v>
      </c>
      <c r="M18" s="102">
        <f t="shared" si="6"/>
        <v>2958</v>
      </c>
      <c r="N18" s="106">
        <f>IF(DATA!$AA$27=3,DATA!$AT$99,DATA!$AP$99)</f>
        <v>2958</v>
      </c>
      <c r="O18" s="102">
        <v>0</v>
      </c>
      <c r="P18" s="102">
        <v>0</v>
      </c>
      <c r="Q18" s="102">
        <v>0</v>
      </c>
      <c r="R18" s="102">
        <v>0</v>
      </c>
      <c r="S18" s="102">
        <v>0</v>
      </c>
      <c r="T18" s="102">
        <v>0</v>
      </c>
      <c r="U18" s="102">
        <v>0</v>
      </c>
      <c r="V18" s="102">
        <f t="shared" si="1"/>
        <v>2958</v>
      </c>
      <c r="W18" s="329"/>
    </row>
    <row r="19" spans="1:23" ht="29.25" customHeight="1">
      <c r="A19" s="46">
        <v>16</v>
      </c>
      <c r="B19" s="309" t="str">
        <f>DATA!C109</f>
        <v>No AAS Arrears</v>
      </c>
      <c r="C19" s="107">
        <f>DATA!F112</f>
        <v>0</v>
      </c>
      <c r="D19" s="107">
        <f>DATA!G112</f>
        <v>0</v>
      </c>
      <c r="E19" s="107">
        <f>DATA!H112</f>
        <v>0</v>
      </c>
      <c r="F19" s="102">
        <v>0</v>
      </c>
      <c r="G19" s="102">
        <v>0</v>
      </c>
      <c r="H19" s="102">
        <v>0</v>
      </c>
      <c r="I19" s="102">
        <v>0</v>
      </c>
      <c r="J19" s="102">
        <f>ROUND(C19*27%,0.1)</f>
        <v>0</v>
      </c>
      <c r="K19" s="102">
        <v>0</v>
      </c>
      <c r="L19" s="102">
        <v>0</v>
      </c>
      <c r="M19" s="102">
        <f>SUM(C19:L19)</f>
        <v>0</v>
      </c>
      <c r="N19" s="106">
        <f>IF(DATA!$AA$27=3,DATA!H113,0)</f>
        <v>0</v>
      </c>
      <c r="O19" s="102">
        <v>0</v>
      </c>
      <c r="P19" s="102">
        <v>0</v>
      </c>
      <c r="Q19" s="102">
        <v>0</v>
      </c>
      <c r="R19" s="102">
        <v>0</v>
      </c>
      <c r="S19" s="102">
        <v>0</v>
      </c>
      <c r="T19" s="102">
        <v>0</v>
      </c>
      <c r="U19" s="102">
        <v>0</v>
      </c>
      <c r="V19" s="102">
        <f t="shared" si="1"/>
        <v>0</v>
      </c>
      <c r="W19" s="329"/>
    </row>
    <row r="20" spans="1:23" ht="25.5" customHeight="1">
      <c r="A20" s="46">
        <v>17</v>
      </c>
      <c r="B20" s="309" t="str">
        <f>DATA!C117</f>
        <v>No Promotion </v>
      </c>
      <c r="C20" s="107">
        <f>DATA!F120</f>
        <v>0</v>
      </c>
      <c r="D20" s="107">
        <f>DATA!G120</f>
        <v>0</v>
      </c>
      <c r="E20" s="107">
        <f>DATA!H120</f>
        <v>0</v>
      </c>
      <c r="F20" s="102">
        <v>0</v>
      </c>
      <c r="G20" s="102">
        <v>0</v>
      </c>
      <c r="H20" s="102">
        <v>0</v>
      </c>
      <c r="I20" s="102">
        <v>0</v>
      </c>
      <c r="J20" s="102">
        <f>DATA!I120</f>
        <v>0</v>
      </c>
      <c r="K20" s="102">
        <v>0</v>
      </c>
      <c r="L20" s="102">
        <v>0</v>
      </c>
      <c r="M20" s="102">
        <f>SUM(C20:L20)</f>
        <v>0</v>
      </c>
      <c r="N20" s="106">
        <f>IF(DATA!$AA$27=3,DATA!H121,0)</f>
        <v>0</v>
      </c>
      <c r="O20" s="102">
        <v>0</v>
      </c>
      <c r="P20" s="102">
        <v>0</v>
      </c>
      <c r="Q20" s="102">
        <v>0</v>
      </c>
      <c r="R20" s="102">
        <v>0</v>
      </c>
      <c r="S20" s="102">
        <v>0</v>
      </c>
      <c r="T20" s="102">
        <v>0</v>
      </c>
      <c r="U20" s="102">
        <v>0</v>
      </c>
      <c r="V20" s="102">
        <f t="shared" si="1"/>
        <v>0</v>
      </c>
      <c r="W20" s="329"/>
    </row>
    <row r="21" spans="1:23" ht="25.5" customHeight="1">
      <c r="A21" s="46">
        <v>18</v>
      </c>
      <c r="B21" s="307" t="s">
        <v>192</v>
      </c>
      <c r="C21" s="107">
        <f>DATA!P9</f>
        <v>0</v>
      </c>
      <c r="D21" s="106">
        <v>0</v>
      </c>
      <c r="E21" s="102">
        <v>0</v>
      </c>
      <c r="F21" s="102">
        <v>0</v>
      </c>
      <c r="G21" s="102">
        <v>0</v>
      </c>
      <c r="H21" s="102">
        <v>0</v>
      </c>
      <c r="I21" s="102">
        <v>0</v>
      </c>
      <c r="J21" s="102">
        <v>0</v>
      </c>
      <c r="K21" s="102">
        <v>0</v>
      </c>
      <c r="L21" s="102">
        <v>0</v>
      </c>
      <c r="M21" s="102">
        <f t="shared" si="6"/>
        <v>0</v>
      </c>
      <c r="N21" s="106">
        <v>0</v>
      </c>
      <c r="O21" s="102">
        <v>0</v>
      </c>
      <c r="P21" s="102">
        <v>0</v>
      </c>
      <c r="Q21" s="102">
        <v>0</v>
      </c>
      <c r="R21" s="102">
        <v>0</v>
      </c>
      <c r="S21" s="102">
        <v>0</v>
      </c>
      <c r="T21" s="102">
        <v>0</v>
      </c>
      <c r="U21" s="102">
        <v>0</v>
      </c>
      <c r="V21" s="102">
        <f t="shared" si="1"/>
        <v>0</v>
      </c>
      <c r="W21" s="329"/>
    </row>
    <row r="22" spans="1:23" ht="21" customHeight="1">
      <c r="A22" s="46">
        <v>19</v>
      </c>
      <c r="B22" s="310" t="s">
        <v>193</v>
      </c>
      <c r="C22" s="105">
        <f>DATA!D10</f>
        <v>0</v>
      </c>
      <c r="D22" s="106">
        <f>DATA!D11</f>
        <v>0</v>
      </c>
      <c r="E22" s="102">
        <f>DATA!D12</f>
        <v>0</v>
      </c>
      <c r="F22" s="102">
        <v>0</v>
      </c>
      <c r="G22" s="102">
        <v>0</v>
      </c>
      <c r="H22" s="102">
        <v>0</v>
      </c>
      <c r="I22" s="102">
        <f>DATA!D13</f>
        <v>0</v>
      </c>
      <c r="J22" s="102">
        <v>0</v>
      </c>
      <c r="K22" s="102">
        <v>0</v>
      </c>
      <c r="L22" s="102">
        <v>0</v>
      </c>
      <c r="M22" s="102">
        <f t="shared" si="6"/>
        <v>0</v>
      </c>
      <c r="N22" s="106">
        <f>DATA!I10</f>
        <v>0</v>
      </c>
      <c r="O22" s="102">
        <v>0</v>
      </c>
      <c r="P22" s="102">
        <v>0</v>
      </c>
      <c r="Q22" s="102">
        <v>0</v>
      </c>
      <c r="R22" s="102">
        <v>0</v>
      </c>
      <c r="S22" s="102">
        <v>0</v>
      </c>
      <c r="T22" s="102">
        <v>0</v>
      </c>
      <c r="U22" s="102">
        <v>0</v>
      </c>
      <c r="V22" s="102">
        <f t="shared" si="1"/>
        <v>0</v>
      </c>
      <c r="W22" s="329"/>
    </row>
    <row r="23" spans="1:23" ht="21" customHeight="1">
      <c r="A23" s="46">
        <v>20</v>
      </c>
      <c r="B23" s="310" t="s">
        <v>541</v>
      </c>
      <c r="C23" s="105">
        <f>DATA!M10</f>
        <v>0</v>
      </c>
      <c r="D23" s="106">
        <f>DATA!N11+DATA!N12</f>
        <v>0</v>
      </c>
      <c r="E23" s="102">
        <f>DATA!M12</f>
        <v>0</v>
      </c>
      <c r="F23" s="102">
        <v>0</v>
      </c>
      <c r="G23" s="102">
        <v>0</v>
      </c>
      <c r="H23" s="102">
        <v>0</v>
      </c>
      <c r="I23" s="102">
        <f>DATA!M13</f>
        <v>0</v>
      </c>
      <c r="J23" s="102">
        <v>0</v>
      </c>
      <c r="K23" s="102">
        <v>0</v>
      </c>
      <c r="L23" s="102">
        <v>0</v>
      </c>
      <c r="M23" s="102">
        <f t="shared" si="6"/>
        <v>0</v>
      </c>
      <c r="N23" s="106">
        <f>DATA!N13</f>
        <v>0</v>
      </c>
      <c r="O23" s="102">
        <v>0</v>
      </c>
      <c r="P23" s="102">
        <v>0</v>
      </c>
      <c r="Q23" s="102">
        <v>0</v>
      </c>
      <c r="R23" s="102">
        <v>0</v>
      </c>
      <c r="S23" s="102">
        <v>0</v>
      </c>
      <c r="T23" s="102">
        <v>0</v>
      </c>
      <c r="U23" s="102">
        <v>0</v>
      </c>
      <c r="V23" s="102">
        <f t="shared" si="1"/>
        <v>0</v>
      </c>
      <c r="W23" s="329"/>
    </row>
    <row r="24" spans="1:23" ht="30.75" customHeight="1">
      <c r="A24" s="658" t="s">
        <v>9</v>
      </c>
      <c r="B24" s="659"/>
      <c r="C24" s="46">
        <f aca="true" t="shared" si="9" ref="C24:V24">SUM(C4:C23)</f>
        <v>196950</v>
      </c>
      <c r="D24" s="46">
        <f t="shared" si="9"/>
        <v>152305</v>
      </c>
      <c r="E24" s="46">
        <f t="shared" si="9"/>
        <v>23634</v>
      </c>
      <c r="F24" s="46">
        <f t="shared" si="9"/>
        <v>0</v>
      </c>
      <c r="G24" s="46">
        <f t="shared" si="9"/>
        <v>0</v>
      </c>
      <c r="H24" s="46">
        <f t="shared" si="9"/>
        <v>0</v>
      </c>
      <c r="I24" s="46">
        <f t="shared" si="9"/>
        <v>0</v>
      </c>
      <c r="J24" s="475">
        <f t="shared" si="9"/>
        <v>53179</v>
      </c>
      <c r="K24" s="46">
        <f t="shared" si="9"/>
        <v>0</v>
      </c>
      <c r="L24" s="305">
        <f t="shared" si="9"/>
        <v>0</v>
      </c>
      <c r="M24" s="305">
        <f>SUM(M4:M23)</f>
        <v>426068</v>
      </c>
      <c r="N24" s="305">
        <f t="shared" si="9"/>
        <v>26486</v>
      </c>
      <c r="O24" s="305">
        <f t="shared" si="9"/>
        <v>5400</v>
      </c>
      <c r="P24" s="305">
        <f t="shared" si="9"/>
        <v>720</v>
      </c>
      <c r="Q24" s="305">
        <f t="shared" si="9"/>
        <v>2400</v>
      </c>
      <c r="R24" s="305">
        <f t="shared" si="9"/>
        <v>0</v>
      </c>
      <c r="S24" s="305">
        <f t="shared" si="9"/>
        <v>360</v>
      </c>
      <c r="T24" s="305">
        <f t="shared" si="9"/>
        <v>0</v>
      </c>
      <c r="U24" s="305">
        <f t="shared" si="9"/>
        <v>1682</v>
      </c>
      <c r="V24" s="305">
        <f t="shared" si="9"/>
        <v>37048</v>
      </c>
      <c r="W24" s="329"/>
    </row>
    <row r="25" spans="1:23" ht="19.5" customHeight="1">
      <c r="A25" s="312"/>
      <c r="B25" s="312"/>
      <c r="C25" s="312"/>
      <c r="D25" s="312"/>
      <c r="E25" s="312"/>
      <c r="F25" s="312"/>
      <c r="G25" s="312"/>
      <c r="H25" s="312"/>
      <c r="I25" s="312"/>
      <c r="J25" s="312"/>
      <c r="K25" s="312"/>
      <c r="L25" s="313"/>
      <c r="M25" s="313"/>
      <c r="N25" s="313"/>
      <c r="O25" s="313"/>
      <c r="P25" s="313"/>
      <c r="Q25" s="313"/>
      <c r="R25" s="313"/>
      <c r="S25" s="313"/>
      <c r="T25" s="313"/>
      <c r="U25" s="313"/>
      <c r="V25" s="313"/>
      <c r="W25" s="329"/>
    </row>
    <row r="26" spans="1:23" ht="19.5" customHeight="1">
      <c r="A26" s="312"/>
      <c r="B26" s="312"/>
      <c r="C26" s="312"/>
      <c r="D26" s="312"/>
      <c r="E26" s="312"/>
      <c r="F26" s="312"/>
      <c r="G26" s="312"/>
      <c r="H26" s="312"/>
      <c r="I26" s="312"/>
      <c r="J26" s="312"/>
      <c r="K26" s="312"/>
      <c r="L26" s="313"/>
      <c r="M26" s="313"/>
      <c r="N26" s="313"/>
      <c r="O26" s="313"/>
      <c r="P26" s="313"/>
      <c r="Q26" s="313"/>
      <c r="R26" s="313"/>
      <c r="S26" s="313"/>
      <c r="T26" s="313"/>
      <c r="U26" s="313"/>
      <c r="V26" s="313"/>
      <c r="W26" s="329"/>
    </row>
    <row r="27" spans="1:22" ht="21.75" customHeight="1">
      <c r="A27" s="45"/>
      <c r="B27" s="45"/>
      <c r="C27" s="48"/>
      <c r="D27" s="48"/>
      <c r="E27" s="48"/>
      <c r="F27" s="48"/>
      <c r="G27" s="48"/>
      <c r="H27" s="48"/>
      <c r="I27" s="48"/>
      <c r="J27" s="48"/>
      <c r="K27" s="48"/>
      <c r="L27" s="48"/>
      <c r="M27" s="48"/>
      <c r="N27" s="48"/>
      <c r="O27" s="48"/>
      <c r="P27" s="48"/>
      <c r="Q27" s="48"/>
      <c r="R27" s="48"/>
      <c r="S27" s="48"/>
      <c r="T27" s="48"/>
      <c r="U27" s="48"/>
      <c r="V27" s="48"/>
    </row>
    <row r="28" spans="1:21" ht="16.5" customHeight="1">
      <c r="A28" s="81"/>
      <c r="B28" s="81"/>
      <c r="C28" s="82" t="s">
        <v>24</v>
      </c>
      <c r="D28" s="82"/>
      <c r="E28" s="82"/>
      <c r="F28" s="82"/>
      <c r="G28" s="82"/>
      <c r="H28" s="82"/>
      <c r="I28" s="82"/>
      <c r="J28" s="82"/>
      <c r="K28" s="82"/>
      <c r="L28" s="82"/>
      <c r="M28" s="82"/>
      <c r="N28" s="82"/>
      <c r="O28" s="82"/>
      <c r="P28" s="82"/>
      <c r="Q28" s="82"/>
      <c r="R28" s="441" t="s">
        <v>184</v>
      </c>
      <c r="S28" s="441"/>
      <c r="T28" s="441"/>
      <c r="U28" s="441"/>
    </row>
    <row r="29" spans="1:22" ht="13.5">
      <c r="A29" s="45"/>
      <c r="B29" s="45"/>
      <c r="C29" s="48"/>
      <c r="D29" s="48"/>
      <c r="E29" s="48"/>
      <c r="F29" s="48"/>
      <c r="G29" s="48"/>
      <c r="H29" s="48"/>
      <c r="I29" s="48" t="str">
        <f>'Annexure -II'!B67</f>
        <v>Progrmme developed by www.prtunzb.webs.com (Putta Srinivas Reddy 98490 25860)</v>
      </c>
      <c r="J29" s="48"/>
      <c r="K29" s="48"/>
      <c r="L29" s="48"/>
      <c r="M29" s="48"/>
      <c r="N29" s="48"/>
      <c r="O29" s="48"/>
      <c r="P29" s="48"/>
      <c r="Q29" s="48"/>
      <c r="R29" s="48"/>
      <c r="S29" s="48"/>
      <c r="T29" s="48"/>
      <c r="U29" s="48"/>
      <c r="V29" s="48"/>
    </row>
    <row r="30" ht="13.5" customHeight="1"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sheetData>
  <sheetProtection password="9B76" sheet="1"/>
  <protectedRanges>
    <protectedRange sqref="A1:V24" name="Range1"/>
  </protectedRanges>
  <mergeCells count="2">
    <mergeCell ref="A24:B24"/>
    <mergeCell ref="A1:V1"/>
  </mergeCells>
  <printOptions/>
  <pageMargins left="0.6" right="0.28" top="0.58" bottom="0.49" header="0" footer="0.28"/>
  <pageSetup horizontalDpi="120" verticalDpi="120" orientation="landscape" paperSize="9" scale="90" r:id="rId1"/>
</worksheet>
</file>

<file path=xl/worksheets/sheet4.xml><?xml version="1.0" encoding="utf-8"?>
<worksheet xmlns="http://schemas.openxmlformats.org/spreadsheetml/2006/main" xmlns:r="http://schemas.openxmlformats.org/officeDocument/2006/relationships">
  <dimension ref="A1:AD87"/>
  <sheetViews>
    <sheetView showGridLines="0" zoomScalePageLayoutView="0" workbookViewId="0" topLeftCell="A40">
      <selection activeCell="D23" sqref="D23:I23"/>
    </sheetView>
  </sheetViews>
  <sheetFormatPr defaultColWidth="0" defaultRowHeight="0" customHeight="1" zeroHeight="1"/>
  <cols>
    <col min="1" max="1" width="1.421875" style="320" customWidth="1"/>
    <col min="2" max="2" width="4.421875" style="320" customWidth="1"/>
    <col min="3" max="3" width="3.57421875" style="320" customWidth="1"/>
    <col min="4" max="4" width="4.7109375" style="320" customWidth="1"/>
    <col min="5" max="5" width="4.57421875" style="320" customWidth="1"/>
    <col min="6" max="6" width="5.28125" style="320" customWidth="1"/>
    <col min="7" max="7" width="6.421875" style="320" customWidth="1"/>
    <col min="8" max="8" width="17.7109375" style="320" customWidth="1"/>
    <col min="9" max="9" width="13.7109375" style="320" customWidth="1"/>
    <col min="10" max="10" width="3.8515625" style="327" customWidth="1"/>
    <col min="11" max="11" width="2.57421875" style="327" customWidth="1"/>
    <col min="12" max="12" width="11.28125" style="327" customWidth="1"/>
    <col min="13" max="13" width="14.8515625" style="327" customWidth="1"/>
    <col min="14" max="14" width="0.9921875" style="442" customWidth="1"/>
    <col min="15" max="16384" width="9.140625" style="442" hidden="1" customWidth="1"/>
  </cols>
  <sheetData>
    <row r="1" spans="1:13" ht="7.5" customHeight="1" thickBot="1">
      <c r="A1" s="57"/>
      <c r="B1" s="57"/>
      <c r="C1" s="57"/>
      <c r="D1" s="57"/>
      <c r="E1" s="57"/>
      <c r="F1" s="57"/>
      <c r="G1" s="57"/>
      <c r="H1" s="57"/>
      <c r="I1" s="57"/>
      <c r="J1" s="58"/>
      <c r="K1" s="58"/>
      <c r="L1" s="58"/>
      <c r="M1" s="58"/>
    </row>
    <row r="2" spans="1:14" ht="15" customHeight="1">
      <c r="A2" s="57"/>
      <c r="B2" s="672"/>
      <c r="C2" s="667"/>
      <c r="D2" s="667"/>
      <c r="E2" s="667"/>
      <c r="F2" s="667"/>
      <c r="G2" s="667" t="s">
        <v>218</v>
      </c>
      <c r="H2" s="667"/>
      <c r="I2" s="667"/>
      <c r="J2" s="667"/>
      <c r="K2" s="667"/>
      <c r="L2" s="667"/>
      <c r="M2" s="361"/>
      <c r="N2" s="443"/>
    </row>
    <row r="3" spans="1:14" ht="13.5" customHeight="1">
      <c r="A3" s="57"/>
      <c r="B3" s="673" t="s">
        <v>603</v>
      </c>
      <c r="C3" s="674"/>
      <c r="D3" s="674"/>
      <c r="E3" s="674"/>
      <c r="F3" s="674"/>
      <c r="G3" s="674"/>
      <c r="H3" s="674"/>
      <c r="I3" s="674"/>
      <c r="J3" s="674"/>
      <c r="K3" s="674"/>
      <c r="L3" s="674"/>
      <c r="M3" s="675"/>
      <c r="N3" s="444"/>
    </row>
    <row r="4" spans="1:14" ht="12.75" customHeight="1">
      <c r="A4" s="57"/>
      <c r="B4" s="668" t="s">
        <v>219</v>
      </c>
      <c r="C4" s="669"/>
      <c r="D4" s="669"/>
      <c r="E4" s="684" t="str">
        <f>DATA!D3</f>
        <v>G.Venugopal</v>
      </c>
      <c r="F4" s="684"/>
      <c r="G4" s="684"/>
      <c r="H4" s="684"/>
      <c r="I4" s="685" t="s">
        <v>551</v>
      </c>
      <c r="J4" s="685"/>
      <c r="K4" s="685"/>
      <c r="L4" s="670" t="str">
        <f>DATA!C4</f>
        <v>MPPS, NN Colony, Dhone</v>
      </c>
      <c r="M4" s="671"/>
      <c r="N4" s="445"/>
    </row>
    <row r="5" spans="1:14" ht="12.75" customHeight="1">
      <c r="A5" s="57"/>
      <c r="B5" s="680" t="s">
        <v>220</v>
      </c>
      <c r="C5" s="681"/>
      <c r="D5" s="681"/>
      <c r="E5" s="663" t="str">
        <f>DATA!Z4</f>
        <v>SGT</v>
      </c>
      <c r="F5" s="663"/>
      <c r="G5" s="663"/>
      <c r="H5" s="663"/>
      <c r="I5" s="676" t="s">
        <v>37</v>
      </c>
      <c r="J5" s="676"/>
      <c r="K5" s="676"/>
      <c r="L5" s="682" t="str">
        <f>DATA!L4</f>
        <v>Dhone</v>
      </c>
      <c r="M5" s="683"/>
      <c r="N5" s="445"/>
    </row>
    <row r="6" spans="1:14" ht="13.5" customHeight="1">
      <c r="A6" s="57"/>
      <c r="B6" s="362">
        <v>1</v>
      </c>
      <c r="C6" s="686" t="str">
        <f>DATA!H72</f>
        <v>Living in : Rented House</v>
      </c>
      <c r="D6" s="687"/>
      <c r="E6" s="687"/>
      <c r="F6" s="687"/>
      <c r="G6" s="687"/>
      <c r="H6" s="688" t="s">
        <v>505</v>
      </c>
      <c r="I6" s="688"/>
      <c r="J6" s="688"/>
      <c r="K6" s="300"/>
      <c r="L6" s="678" t="str">
        <f>DATA!L14</f>
        <v>AJVPG9142R</v>
      </c>
      <c r="M6" s="679"/>
      <c r="N6" s="446"/>
    </row>
    <row r="7" spans="1:14" ht="13.5" customHeight="1">
      <c r="A7" s="57"/>
      <c r="B7" s="362">
        <v>2</v>
      </c>
      <c r="C7" s="661" t="s">
        <v>221</v>
      </c>
      <c r="D7" s="662"/>
      <c r="E7" s="662"/>
      <c r="F7" s="662"/>
      <c r="G7" s="662"/>
      <c r="H7" s="662"/>
      <c r="I7" s="662"/>
      <c r="J7" s="109" t="s">
        <v>222</v>
      </c>
      <c r="K7" s="110"/>
      <c r="L7" s="111"/>
      <c r="M7" s="363">
        <f>'Annexure -I'!M24</f>
        <v>426068</v>
      </c>
      <c r="N7" s="447"/>
    </row>
    <row r="8" spans="1:14" ht="13.5" customHeight="1">
      <c r="A8" s="57"/>
      <c r="B8" s="362">
        <v>3</v>
      </c>
      <c r="C8" s="664" t="s">
        <v>223</v>
      </c>
      <c r="D8" s="665"/>
      <c r="E8" s="665"/>
      <c r="F8" s="665"/>
      <c r="G8" s="665"/>
      <c r="H8" s="665"/>
      <c r="I8" s="665"/>
      <c r="J8" s="112"/>
      <c r="K8" s="113"/>
      <c r="L8" s="114"/>
      <c r="M8" s="363"/>
      <c r="N8" s="448"/>
    </row>
    <row r="9" spans="1:14" ht="13.5" customHeight="1">
      <c r="A9" s="57"/>
      <c r="B9" s="362"/>
      <c r="C9" s="115" t="s">
        <v>224</v>
      </c>
      <c r="D9" s="666" t="s">
        <v>225</v>
      </c>
      <c r="E9" s="666"/>
      <c r="F9" s="666"/>
      <c r="G9" s="666"/>
      <c r="H9" s="666"/>
      <c r="I9" s="666"/>
      <c r="J9" s="116" t="s">
        <v>222</v>
      </c>
      <c r="K9" s="117"/>
      <c r="L9" s="118">
        <f>'Annexure -I'!E24</f>
        <v>23634</v>
      </c>
      <c r="M9" s="363"/>
      <c r="N9" s="448"/>
    </row>
    <row r="10" spans="1:14" ht="13.5" customHeight="1">
      <c r="A10" s="57"/>
      <c r="B10" s="362"/>
      <c r="C10" s="115" t="s">
        <v>226</v>
      </c>
      <c r="D10" s="666" t="str">
        <f>DATA!O84</f>
        <v>Rent paid in excess of 10% Salary(Rent: @ 5000/-PM)</v>
      </c>
      <c r="E10" s="666"/>
      <c r="F10" s="666"/>
      <c r="G10" s="666"/>
      <c r="H10" s="666"/>
      <c r="I10" s="666"/>
      <c r="J10" s="116" t="s">
        <v>222</v>
      </c>
      <c r="K10" s="117"/>
      <c r="L10" s="118">
        <f>IF(DATA!M72=1,0,DATA!Q82)</f>
        <v>25074</v>
      </c>
      <c r="M10" s="363"/>
      <c r="N10" s="448"/>
    </row>
    <row r="11" spans="1:14" ht="13.5" customHeight="1">
      <c r="A11" s="57"/>
      <c r="B11" s="362"/>
      <c r="C11" s="115" t="s">
        <v>227</v>
      </c>
      <c r="D11" s="666" t="s">
        <v>228</v>
      </c>
      <c r="E11" s="666"/>
      <c r="F11" s="666"/>
      <c r="G11" s="666"/>
      <c r="H11" s="666"/>
      <c r="I11" s="666"/>
      <c r="J11" s="116" t="s">
        <v>222</v>
      </c>
      <c r="K11" s="117"/>
      <c r="L11" s="118">
        <f>ROUND(('Annexure -I'!C24+'Annexure -I'!D24)*0.4,-2)</f>
        <v>139700</v>
      </c>
      <c r="M11" s="364">
        <f>MIN(L9:L11)</f>
        <v>23634</v>
      </c>
      <c r="N11" s="448"/>
    </row>
    <row r="12" spans="1:14" ht="13.5" customHeight="1">
      <c r="A12" s="57"/>
      <c r="B12" s="362">
        <v>4</v>
      </c>
      <c r="C12" s="661" t="s">
        <v>229</v>
      </c>
      <c r="D12" s="662"/>
      <c r="E12" s="662"/>
      <c r="F12" s="662"/>
      <c r="G12" s="662"/>
      <c r="H12" s="662"/>
      <c r="I12" s="662"/>
      <c r="J12" s="112" t="s">
        <v>222</v>
      </c>
      <c r="K12" s="113"/>
      <c r="L12" s="114"/>
      <c r="M12" s="365">
        <f>M7-M11</f>
        <v>402434</v>
      </c>
      <c r="N12" s="447"/>
    </row>
    <row r="13" spans="1:14" ht="13.5" customHeight="1">
      <c r="A13" s="57"/>
      <c r="B13" s="362">
        <v>5</v>
      </c>
      <c r="C13" s="661" t="s">
        <v>230</v>
      </c>
      <c r="D13" s="662"/>
      <c r="E13" s="662"/>
      <c r="F13" s="662"/>
      <c r="G13" s="662"/>
      <c r="H13" s="662"/>
      <c r="I13" s="662"/>
      <c r="J13" s="112"/>
      <c r="K13" s="113"/>
      <c r="L13" s="114"/>
      <c r="M13" s="363"/>
      <c r="N13" s="448"/>
    </row>
    <row r="14" spans="1:14" ht="13.5" customHeight="1">
      <c r="A14" s="57"/>
      <c r="B14" s="362"/>
      <c r="C14" s="115" t="s">
        <v>224</v>
      </c>
      <c r="D14" s="691" t="s">
        <v>231</v>
      </c>
      <c r="E14" s="691"/>
      <c r="F14" s="691"/>
      <c r="G14" s="691"/>
      <c r="H14" s="691"/>
      <c r="I14" s="691"/>
      <c r="J14" s="116" t="s">
        <v>222</v>
      </c>
      <c r="K14" s="117"/>
      <c r="L14" s="118">
        <f>'Annexure -I'!L24</f>
        <v>0</v>
      </c>
      <c r="M14" s="363"/>
      <c r="N14" s="448"/>
    </row>
    <row r="15" spans="1:14" ht="13.5" customHeight="1">
      <c r="A15" s="57"/>
      <c r="B15" s="362"/>
      <c r="C15" s="115" t="s">
        <v>226</v>
      </c>
      <c r="D15" s="666" t="s">
        <v>233</v>
      </c>
      <c r="E15" s="666"/>
      <c r="F15" s="666"/>
      <c r="G15" s="666"/>
      <c r="H15" s="666"/>
      <c r="I15" s="119"/>
      <c r="J15" s="116" t="s">
        <v>222</v>
      </c>
      <c r="K15" s="117"/>
      <c r="L15" s="118">
        <f>'Annexure -I'!Q24</f>
        <v>2400</v>
      </c>
      <c r="M15" s="364">
        <f>L15+L14</f>
        <v>2400</v>
      </c>
      <c r="N15" s="448"/>
    </row>
    <row r="16" spans="1:14" ht="13.5" customHeight="1">
      <c r="A16" s="57"/>
      <c r="B16" s="362">
        <v>6</v>
      </c>
      <c r="C16" s="661" t="s">
        <v>234</v>
      </c>
      <c r="D16" s="662"/>
      <c r="E16" s="662"/>
      <c r="F16" s="662"/>
      <c r="G16" s="662"/>
      <c r="H16" s="662"/>
      <c r="I16" s="662"/>
      <c r="J16" s="112" t="s">
        <v>222</v>
      </c>
      <c r="K16" s="113"/>
      <c r="L16" s="114"/>
      <c r="M16" s="366">
        <f>M12-M15</f>
        <v>400034</v>
      </c>
      <c r="N16" s="447"/>
    </row>
    <row r="17" spans="1:14" ht="12" customHeight="1">
      <c r="A17" s="57"/>
      <c r="B17" s="362">
        <v>7</v>
      </c>
      <c r="C17" s="689" t="s">
        <v>235</v>
      </c>
      <c r="D17" s="666"/>
      <c r="E17" s="666"/>
      <c r="F17" s="666"/>
      <c r="G17" s="666"/>
      <c r="H17" s="666"/>
      <c r="I17" s="666"/>
      <c r="J17" s="112" t="s">
        <v>222</v>
      </c>
      <c r="K17" s="113"/>
      <c r="L17" s="114"/>
      <c r="M17" s="363">
        <f>L17</f>
        <v>0</v>
      </c>
      <c r="N17" s="448"/>
    </row>
    <row r="18" spans="1:14" ht="12" customHeight="1">
      <c r="A18" s="57"/>
      <c r="B18" s="362">
        <v>8</v>
      </c>
      <c r="C18" s="689" t="s">
        <v>236</v>
      </c>
      <c r="D18" s="666"/>
      <c r="E18" s="666"/>
      <c r="F18" s="666"/>
      <c r="G18" s="666"/>
      <c r="H18" s="666"/>
      <c r="I18" s="666"/>
      <c r="J18" s="112" t="s">
        <v>222</v>
      </c>
      <c r="K18" s="113"/>
      <c r="L18" s="114"/>
      <c r="M18" s="363">
        <f>L18</f>
        <v>0</v>
      </c>
      <c r="N18" s="448"/>
    </row>
    <row r="19" spans="1:14" ht="12" customHeight="1">
      <c r="A19" s="57"/>
      <c r="B19" s="362">
        <v>9</v>
      </c>
      <c r="C19" s="689" t="s">
        <v>271</v>
      </c>
      <c r="D19" s="666"/>
      <c r="E19" s="666"/>
      <c r="F19" s="666"/>
      <c r="G19" s="666"/>
      <c r="H19" s="666"/>
      <c r="I19" s="666"/>
      <c r="J19" s="112" t="s">
        <v>222</v>
      </c>
      <c r="K19" s="113"/>
      <c r="L19" s="114">
        <f>IF(DATA!M72=2,0,DATA!P18)</f>
        <v>0</v>
      </c>
      <c r="M19" s="364">
        <f>L19</f>
        <v>0</v>
      </c>
      <c r="N19" s="448"/>
    </row>
    <row r="20" spans="1:14" ht="13.5" customHeight="1">
      <c r="A20" s="57"/>
      <c r="B20" s="362">
        <v>10</v>
      </c>
      <c r="C20" s="661" t="s">
        <v>237</v>
      </c>
      <c r="D20" s="662"/>
      <c r="E20" s="662"/>
      <c r="F20" s="662"/>
      <c r="G20" s="662"/>
      <c r="H20" s="662"/>
      <c r="I20" s="662"/>
      <c r="J20" s="112" t="s">
        <v>222</v>
      </c>
      <c r="K20" s="113"/>
      <c r="L20" s="114"/>
      <c r="M20" s="365">
        <f>M16+M17+M18+M19</f>
        <v>400034</v>
      </c>
      <c r="N20" s="447"/>
    </row>
    <row r="21" spans="1:14" ht="18" customHeight="1">
      <c r="A21" s="57"/>
      <c r="B21" s="362">
        <v>11</v>
      </c>
      <c r="C21" s="661" t="s">
        <v>238</v>
      </c>
      <c r="D21" s="662"/>
      <c r="E21" s="662"/>
      <c r="F21" s="662"/>
      <c r="G21" s="662"/>
      <c r="H21" s="662"/>
      <c r="I21" s="662"/>
      <c r="J21" s="112"/>
      <c r="K21" s="113"/>
      <c r="L21" s="114"/>
      <c r="M21" s="363"/>
      <c r="N21" s="448"/>
    </row>
    <row r="22" spans="1:14" ht="12" customHeight="1">
      <c r="A22" s="57"/>
      <c r="B22" s="362"/>
      <c r="C22" s="115" t="s">
        <v>224</v>
      </c>
      <c r="D22" s="677" t="str">
        <f>DATA!N56</f>
        <v>Expenditure on medical treatment</v>
      </c>
      <c r="E22" s="677"/>
      <c r="F22" s="677"/>
      <c r="G22" s="677"/>
      <c r="H22" s="677"/>
      <c r="I22" s="121"/>
      <c r="J22" s="122" t="s">
        <v>222</v>
      </c>
      <c r="K22" s="123"/>
      <c r="L22" s="124"/>
      <c r="M22" s="363"/>
      <c r="N22" s="448"/>
    </row>
    <row r="23" spans="1:14" ht="12" customHeight="1">
      <c r="A23" s="57"/>
      <c r="B23" s="362"/>
      <c r="C23" s="115" t="s">
        <v>226</v>
      </c>
      <c r="D23" s="677" t="str">
        <f>DATA!N53</f>
        <v>Medical Insurance Premium + EHF Deduction</v>
      </c>
      <c r="E23" s="677"/>
      <c r="F23" s="677"/>
      <c r="G23" s="677"/>
      <c r="H23" s="677"/>
      <c r="I23" s="690"/>
      <c r="J23" s="122" t="s">
        <v>222</v>
      </c>
      <c r="K23" s="123"/>
      <c r="L23" s="124">
        <f>DATA!T53</f>
        <v>360</v>
      </c>
      <c r="M23" s="363"/>
      <c r="N23" s="448"/>
    </row>
    <row r="24" spans="1:14" ht="12" customHeight="1">
      <c r="A24" s="57"/>
      <c r="B24" s="362"/>
      <c r="C24" s="115" t="s">
        <v>227</v>
      </c>
      <c r="D24" s="677" t="str">
        <f>DATA!N59</f>
        <v>Donation of Charitable Institution</v>
      </c>
      <c r="E24" s="677"/>
      <c r="F24" s="677"/>
      <c r="G24" s="677"/>
      <c r="H24" s="677"/>
      <c r="I24" s="121"/>
      <c r="J24" s="122" t="s">
        <v>222</v>
      </c>
      <c r="K24" s="123"/>
      <c r="L24" s="124"/>
      <c r="M24" s="363"/>
      <c r="N24" s="448"/>
    </row>
    <row r="25" spans="1:14" ht="12" customHeight="1">
      <c r="A25" s="57"/>
      <c r="B25" s="362"/>
      <c r="C25" s="115" t="s">
        <v>239</v>
      </c>
      <c r="D25" s="677" t="str">
        <f>DATA!N63</f>
        <v>Interest on Educational Loan</v>
      </c>
      <c r="E25" s="677"/>
      <c r="F25" s="677"/>
      <c r="G25" s="677"/>
      <c r="H25" s="677"/>
      <c r="I25" s="121"/>
      <c r="J25" s="122" t="s">
        <v>222</v>
      </c>
      <c r="K25" s="123"/>
      <c r="L25" s="124">
        <f>DATA!T63</f>
        <v>0</v>
      </c>
      <c r="M25" s="363"/>
      <c r="N25" s="448"/>
    </row>
    <row r="26" spans="1:14" ht="12" customHeight="1">
      <c r="A26" s="57"/>
      <c r="B26" s="362"/>
      <c r="C26" s="115" t="s">
        <v>240</v>
      </c>
      <c r="D26" s="677" t="str">
        <f>DATA!N65</f>
        <v>Interest on Housing Loan Advance</v>
      </c>
      <c r="E26" s="677"/>
      <c r="F26" s="677"/>
      <c r="G26" s="677"/>
      <c r="H26" s="677"/>
      <c r="I26" s="121"/>
      <c r="J26" s="122" t="s">
        <v>222</v>
      </c>
      <c r="K26" s="123"/>
      <c r="L26" s="124">
        <f>DATA!T65</f>
        <v>0</v>
      </c>
      <c r="M26" s="363"/>
      <c r="N26" s="448"/>
    </row>
    <row r="27" spans="1:14" ht="12" customHeight="1">
      <c r="A27" s="57"/>
      <c r="B27" s="362"/>
      <c r="C27" s="115" t="s">
        <v>241</v>
      </c>
      <c r="D27" s="677" t="str">
        <f>DATA!N67</f>
        <v>Medical treatment of Handicapped/Dependent</v>
      </c>
      <c r="E27" s="677"/>
      <c r="F27" s="677"/>
      <c r="G27" s="677"/>
      <c r="H27" s="677"/>
      <c r="I27" s="120"/>
      <c r="J27" s="122" t="s">
        <v>222</v>
      </c>
      <c r="K27" s="125"/>
      <c r="L27" s="124">
        <f>DATA!T67</f>
        <v>0</v>
      </c>
      <c r="M27" s="363"/>
      <c r="N27" s="448"/>
    </row>
    <row r="28" spans="1:14" ht="12" customHeight="1">
      <c r="A28" s="57"/>
      <c r="B28" s="362"/>
      <c r="C28" s="115" t="s">
        <v>242</v>
      </c>
      <c r="D28" s="677">
        <f>DATA!N68</f>
      </c>
      <c r="E28" s="677"/>
      <c r="F28" s="677"/>
      <c r="G28" s="677"/>
      <c r="H28" s="677"/>
      <c r="I28" s="120"/>
      <c r="J28" s="122" t="s">
        <v>222</v>
      </c>
      <c r="K28" s="125"/>
      <c r="L28" s="124">
        <f>DATA!T68</f>
        <v>0</v>
      </c>
      <c r="M28" s="363"/>
      <c r="N28" s="448"/>
    </row>
    <row r="29" spans="1:14" ht="12" customHeight="1">
      <c r="A29" s="57"/>
      <c r="B29" s="362"/>
      <c r="C29" s="115" t="s">
        <v>16</v>
      </c>
      <c r="D29" s="677" t="s">
        <v>546</v>
      </c>
      <c r="E29" s="677"/>
      <c r="F29" s="677"/>
      <c r="G29" s="677"/>
      <c r="H29" s="677"/>
      <c r="I29" s="677"/>
      <c r="J29" s="126" t="s">
        <v>222</v>
      </c>
      <c r="K29" s="127"/>
      <c r="L29" s="128">
        <f>'Annexure -I'!U24</f>
        <v>1682</v>
      </c>
      <c r="M29" s="363"/>
      <c r="N29" s="448"/>
    </row>
    <row r="30" spans="1:14" ht="15" customHeight="1">
      <c r="A30" s="57"/>
      <c r="B30" s="362"/>
      <c r="C30" s="661" t="s">
        <v>243</v>
      </c>
      <c r="D30" s="662"/>
      <c r="E30" s="662"/>
      <c r="F30" s="662"/>
      <c r="G30" s="662"/>
      <c r="H30" s="662"/>
      <c r="I30" s="662"/>
      <c r="J30" s="129" t="s">
        <v>222</v>
      </c>
      <c r="K30" s="130"/>
      <c r="L30" s="131">
        <f>SUM(L22:L29)</f>
        <v>2042</v>
      </c>
      <c r="M30" s="364">
        <f>L30</f>
        <v>2042</v>
      </c>
      <c r="N30" s="448"/>
    </row>
    <row r="31" spans="1:14" ht="18" customHeight="1">
      <c r="A31" s="57"/>
      <c r="B31" s="362">
        <v>12</v>
      </c>
      <c r="C31" s="661" t="s">
        <v>244</v>
      </c>
      <c r="D31" s="662"/>
      <c r="E31" s="662"/>
      <c r="F31" s="662"/>
      <c r="G31" s="662"/>
      <c r="H31" s="662"/>
      <c r="I31" s="662"/>
      <c r="J31" s="112" t="s">
        <v>222</v>
      </c>
      <c r="K31" s="113"/>
      <c r="L31" s="114"/>
      <c r="M31" s="365">
        <f>M20-M30</f>
        <v>397992</v>
      </c>
      <c r="N31" s="447"/>
    </row>
    <row r="32" spans="1:14" ht="18" customHeight="1">
      <c r="A32" s="57"/>
      <c r="B32" s="362">
        <v>13</v>
      </c>
      <c r="C32" s="661" t="s">
        <v>607</v>
      </c>
      <c r="D32" s="662"/>
      <c r="E32" s="662"/>
      <c r="F32" s="662"/>
      <c r="G32" s="662"/>
      <c r="H32" s="662"/>
      <c r="I32" s="662"/>
      <c r="J32" s="112"/>
      <c r="K32" s="113"/>
      <c r="L32" s="114"/>
      <c r="M32" s="363"/>
      <c r="N32" s="448"/>
    </row>
    <row r="33" spans="1:14" ht="12" customHeight="1">
      <c r="A33" s="57"/>
      <c r="B33" s="362"/>
      <c r="C33" s="115" t="s">
        <v>224</v>
      </c>
      <c r="D33" s="677" t="str">
        <f>'Annexure -I'!N3</f>
        <v>ZP GPF</v>
      </c>
      <c r="E33" s="677"/>
      <c r="F33" s="677"/>
      <c r="G33" s="211" t="s">
        <v>495</v>
      </c>
      <c r="H33" s="476">
        <f>DATA!F14</f>
        <v>24961</v>
      </c>
      <c r="I33" s="133" t="s">
        <v>265</v>
      </c>
      <c r="J33" s="116" t="s">
        <v>222</v>
      </c>
      <c r="K33" s="117"/>
      <c r="L33" s="124">
        <f>'Annexure -I'!N24</f>
        <v>26486</v>
      </c>
      <c r="M33" s="363"/>
      <c r="N33" s="448"/>
    </row>
    <row r="34" spans="1:14" ht="12" customHeight="1">
      <c r="A34" s="57"/>
      <c r="B34" s="362"/>
      <c r="C34" s="115" t="s">
        <v>226</v>
      </c>
      <c r="D34" s="677" t="s">
        <v>21</v>
      </c>
      <c r="E34" s="677"/>
      <c r="F34" s="120"/>
      <c r="G34" s="132" t="s">
        <v>496</v>
      </c>
      <c r="H34" s="477" t="str">
        <f>DATA!C16</f>
        <v>L705766</v>
      </c>
      <c r="I34" s="133" t="s">
        <v>265</v>
      </c>
      <c r="J34" s="116" t="s">
        <v>222</v>
      </c>
      <c r="K34" s="117"/>
      <c r="L34" s="124">
        <f>'Annexure -I'!O24</f>
        <v>5400</v>
      </c>
      <c r="M34" s="363"/>
      <c r="N34" s="448"/>
    </row>
    <row r="35" spans="1:14" ht="12" customHeight="1">
      <c r="A35" s="57"/>
      <c r="B35" s="362"/>
      <c r="C35" s="115" t="s">
        <v>227</v>
      </c>
      <c r="D35" s="120" t="s">
        <v>22</v>
      </c>
      <c r="E35" s="120"/>
      <c r="F35" s="120"/>
      <c r="G35" s="120"/>
      <c r="H35" s="120"/>
      <c r="I35" s="120"/>
      <c r="J35" s="116" t="s">
        <v>222</v>
      </c>
      <c r="K35" s="117"/>
      <c r="L35" s="124">
        <f>'Annexure -I'!P24</f>
        <v>720</v>
      </c>
      <c r="M35" s="363"/>
      <c r="N35" s="448"/>
    </row>
    <row r="36" spans="1:14" ht="12" customHeight="1">
      <c r="A36" s="57"/>
      <c r="B36" s="362"/>
      <c r="C36" s="115" t="s">
        <v>239</v>
      </c>
      <c r="D36" s="677" t="s">
        <v>245</v>
      </c>
      <c r="E36" s="677"/>
      <c r="F36" s="677"/>
      <c r="G36" s="677"/>
      <c r="H36" s="677"/>
      <c r="I36" s="677"/>
      <c r="J36" s="116" t="s">
        <v>222</v>
      </c>
      <c r="K36" s="117"/>
      <c r="L36" s="124">
        <f>'Annexure -I'!T24</f>
        <v>0</v>
      </c>
      <c r="M36" s="363"/>
      <c r="N36" s="448"/>
    </row>
    <row r="37" spans="1:14" ht="12" customHeight="1">
      <c r="A37" s="57"/>
      <c r="B37" s="362"/>
      <c r="C37" s="115" t="s">
        <v>240</v>
      </c>
      <c r="D37" s="677" t="str">
        <f>DATA!BA13</f>
        <v>Children Tution Fee </v>
      </c>
      <c r="E37" s="677"/>
      <c r="F37" s="677"/>
      <c r="G37" s="677"/>
      <c r="H37" s="677"/>
      <c r="I37" s="677"/>
      <c r="J37" s="116" t="s">
        <v>222</v>
      </c>
      <c r="K37" s="117"/>
      <c r="L37" s="124">
        <f>DATA!E18</f>
        <v>0</v>
      </c>
      <c r="M37" s="363"/>
      <c r="N37" s="448"/>
    </row>
    <row r="38" spans="1:14" ht="12" customHeight="1">
      <c r="A38" s="57"/>
      <c r="B38" s="362"/>
      <c r="C38" s="115" t="s">
        <v>241</v>
      </c>
      <c r="D38" s="120" t="str">
        <f>DATA!BA14</f>
        <v>Repayement of Home Loan Premium</v>
      </c>
      <c r="E38" s="120"/>
      <c r="F38" s="120"/>
      <c r="G38" s="120"/>
      <c r="H38" s="120"/>
      <c r="I38" s="120"/>
      <c r="J38" s="116" t="s">
        <v>222</v>
      </c>
      <c r="K38" s="117"/>
      <c r="L38" s="124">
        <f>DATA!E19</f>
        <v>0</v>
      </c>
      <c r="M38" s="363"/>
      <c r="N38" s="448"/>
    </row>
    <row r="39" spans="1:14" ht="12" customHeight="1">
      <c r="A39" s="57"/>
      <c r="B39" s="362"/>
      <c r="C39" s="115" t="s">
        <v>242</v>
      </c>
      <c r="D39" s="120" t="str">
        <f>DATA!BA15</f>
        <v>LIC Annual Premiums Paid by Hand</v>
      </c>
      <c r="E39" s="120"/>
      <c r="F39" s="120"/>
      <c r="G39" s="120"/>
      <c r="H39" s="120"/>
      <c r="I39" s="120"/>
      <c r="J39" s="116" t="s">
        <v>222</v>
      </c>
      <c r="K39" s="117"/>
      <c r="L39" s="124">
        <f>DATA!E20</f>
        <v>0</v>
      </c>
      <c r="M39" s="363"/>
      <c r="N39" s="448"/>
    </row>
    <row r="40" spans="1:14" ht="12" customHeight="1">
      <c r="A40" s="57"/>
      <c r="B40" s="362"/>
      <c r="C40" s="115" t="s">
        <v>16</v>
      </c>
      <c r="D40" s="120" t="str">
        <f>DATA!BA16</f>
        <v>PLI Annual Premuim</v>
      </c>
      <c r="E40" s="120"/>
      <c r="F40" s="120"/>
      <c r="G40" s="120"/>
      <c r="H40" s="120"/>
      <c r="I40" s="120"/>
      <c r="J40" s="116" t="s">
        <v>222</v>
      </c>
      <c r="K40" s="117"/>
      <c r="L40" s="124">
        <f>DATA!E21</f>
        <v>0</v>
      </c>
      <c r="M40" s="363"/>
      <c r="N40" s="448"/>
    </row>
    <row r="41" spans="1:14" ht="12" customHeight="1">
      <c r="A41" s="57"/>
      <c r="B41" s="362"/>
      <c r="C41" s="115" t="s">
        <v>246</v>
      </c>
      <c r="D41" s="120" t="str">
        <f>DATA!BA17</f>
        <v>5 Years Fixed Deposits </v>
      </c>
      <c r="E41" s="120"/>
      <c r="F41" s="120"/>
      <c r="G41" s="120"/>
      <c r="H41" s="120"/>
      <c r="I41" s="120"/>
      <c r="J41" s="116" t="s">
        <v>222</v>
      </c>
      <c r="K41" s="117"/>
      <c r="L41" s="124">
        <f>DATA!E22</f>
        <v>0</v>
      </c>
      <c r="M41" s="363"/>
      <c r="N41" s="448"/>
    </row>
    <row r="42" spans="1:14" ht="12" customHeight="1">
      <c r="A42" s="57"/>
      <c r="B42" s="362"/>
      <c r="C42" s="115" t="s">
        <v>247</v>
      </c>
      <c r="D42" s="120" t="str">
        <f>DATA!BA18</f>
        <v>Unit Linked Insurance Plan</v>
      </c>
      <c r="E42" s="120"/>
      <c r="F42" s="120"/>
      <c r="G42" s="120"/>
      <c r="H42" s="120"/>
      <c r="I42" s="120"/>
      <c r="J42" s="116" t="s">
        <v>222</v>
      </c>
      <c r="K42" s="117"/>
      <c r="L42" s="124">
        <f>DATA!E23</f>
        <v>0</v>
      </c>
      <c r="M42" s="363"/>
      <c r="N42" s="448"/>
    </row>
    <row r="43" spans="1:14" ht="11.25" customHeight="1">
      <c r="A43" s="57"/>
      <c r="B43" s="362"/>
      <c r="C43" s="115" t="s">
        <v>248</v>
      </c>
      <c r="D43" s="120" t="s">
        <v>267</v>
      </c>
      <c r="E43" s="120"/>
      <c r="F43" s="695">
        <f>DATA!B24</f>
        <v>0</v>
      </c>
      <c r="G43" s="695"/>
      <c r="H43" s="695"/>
      <c r="I43" s="120" t="s">
        <v>265</v>
      </c>
      <c r="J43" s="134" t="s">
        <v>222</v>
      </c>
      <c r="K43" s="135"/>
      <c r="L43" s="124">
        <f>DATA!E24</f>
        <v>0</v>
      </c>
      <c r="M43" s="363"/>
      <c r="N43" s="448"/>
    </row>
    <row r="44" spans="1:14" ht="14.25" customHeight="1">
      <c r="A44" s="57"/>
      <c r="B44" s="362"/>
      <c r="C44" s="661" t="s">
        <v>249</v>
      </c>
      <c r="D44" s="662"/>
      <c r="E44" s="662"/>
      <c r="F44" s="662"/>
      <c r="G44" s="108"/>
      <c r="H44" s="108"/>
      <c r="I44" s="136"/>
      <c r="J44" s="129" t="s">
        <v>222</v>
      </c>
      <c r="K44" s="130"/>
      <c r="L44" s="131">
        <f>SUM(L33:L43)</f>
        <v>32606</v>
      </c>
      <c r="M44" s="367">
        <f>IF(L44&lt;=150000,L44,150000)</f>
        <v>32606</v>
      </c>
      <c r="N44" s="449"/>
    </row>
    <row r="45" spans="1:14" ht="15.75" customHeight="1">
      <c r="A45" s="57"/>
      <c r="B45" s="362"/>
      <c r="C45" s="664" t="str">
        <f>DATA!G23</f>
        <v>Rajiv Gandhi Equity Share 80CCG Upto Rs.50000/-</v>
      </c>
      <c r="D45" s="665"/>
      <c r="E45" s="665"/>
      <c r="F45" s="665"/>
      <c r="G45" s="665"/>
      <c r="H45" s="665"/>
      <c r="I45" s="696"/>
      <c r="J45" s="112" t="s">
        <v>222</v>
      </c>
      <c r="K45" s="113"/>
      <c r="L45" s="114">
        <f>DATA!M23</f>
        <v>0</v>
      </c>
      <c r="M45" s="365">
        <f>IF(ROUND(L45/2,0.1)&lt;=25000,ROUND(L45/2,0.1),25000)</f>
        <v>0</v>
      </c>
      <c r="N45" s="449"/>
    </row>
    <row r="46" spans="1:14" ht="12.75" customHeight="1">
      <c r="A46" s="57"/>
      <c r="B46" s="362">
        <v>14</v>
      </c>
      <c r="C46" s="661" t="s">
        <v>268</v>
      </c>
      <c r="D46" s="662"/>
      <c r="E46" s="662"/>
      <c r="F46" s="662"/>
      <c r="G46" s="662"/>
      <c r="H46" s="662"/>
      <c r="I46" s="662"/>
      <c r="J46" s="137" t="s">
        <v>222</v>
      </c>
      <c r="K46" s="138"/>
      <c r="L46" s="139"/>
      <c r="M46" s="368">
        <f>ROUND(M31-M44-M45,-1)</f>
        <v>365390</v>
      </c>
      <c r="N46" s="447"/>
    </row>
    <row r="47" spans="1:14" ht="12.75" customHeight="1">
      <c r="A47" s="57"/>
      <c r="B47" s="362">
        <v>15</v>
      </c>
      <c r="C47" s="661" t="s">
        <v>250</v>
      </c>
      <c r="D47" s="662"/>
      <c r="E47" s="662"/>
      <c r="F47" s="662"/>
      <c r="G47" s="662"/>
      <c r="H47" s="662"/>
      <c r="I47" s="108"/>
      <c r="J47" s="116"/>
      <c r="K47" s="117"/>
      <c r="L47" s="118"/>
      <c r="M47" s="369"/>
      <c r="N47" s="448"/>
    </row>
    <row r="48" spans="1:14" ht="12" customHeight="1">
      <c r="A48" s="57"/>
      <c r="B48" s="362"/>
      <c r="C48" s="115" t="s">
        <v>224</v>
      </c>
      <c r="D48" s="692" t="str">
        <f>DATA!N86</f>
        <v>Up to Rs. 2,50,000</v>
      </c>
      <c r="E48" s="692"/>
      <c r="F48" s="692"/>
      <c r="G48" s="692"/>
      <c r="H48" s="692"/>
      <c r="I48" s="133"/>
      <c r="J48" s="116" t="s">
        <v>222</v>
      </c>
      <c r="K48" s="117"/>
      <c r="L48" s="118"/>
      <c r="M48" s="370" t="s">
        <v>251</v>
      </c>
      <c r="N48" s="450"/>
    </row>
    <row r="49" spans="1:28" ht="12" customHeight="1">
      <c r="A49" s="57"/>
      <c r="B49" s="362"/>
      <c r="C49" s="115" t="s">
        <v>226</v>
      </c>
      <c r="D49" s="692" t="str">
        <f>DATA!N87</f>
        <v>Rs.2,50,001 To 5,00,000.    (@ 10%)</v>
      </c>
      <c r="E49" s="692"/>
      <c r="F49" s="692"/>
      <c r="G49" s="692"/>
      <c r="H49" s="692"/>
      <c r="I49" s="133"/>
      <c r="J49" s="116" t="s">
        <v>222</v>
      </c>
      <c r="K49" s="117"/>
      <c r="L49" s="118"/>
      <c r="M49" s="369">
        <f>AD51</f>
        <v>11539</v>
      </c>
      <c r="N49" s="451"/>
      <c r="X49" s="442">
        <f>DATA!AA21</f>
        <v>1</v>
      </c>
      <c r="Z49" s="452">
        <f>M46</f>
        <v>365390</v>
      </c>
      <c r="AA49" s="452"/>
      <c r="AB49" s="452"/>
    </row>
    <row r="50" spans="1:30" ht="12" customHeight="1">
      <c r="A50" s="57"/>
      <c r="B50" s="362"/>
      <c r="C50" s="115" t="s">
        <v>227</v>
      </c>
      <c r="D50" s="692" t="s">
        <v>542</v>
      </c>
      <c r="E50" s="692"/>
      <c r="F50" s="692"/>
      <c r="G50" s="692"/>
      <c r="H50" s="692"/>
      <c r="I50" s="133"/>
      <c r="J50" s="116" t="s">
        <v>222</v>
      </c>
      <c r="K50" s="117"/>
      <c r="L50" s="118"/>
      <c r="M50" s="369">
        <f>AD53</f>
        <v>0</v>
      </c>
      <c r="N50" s="451"/>
      <c r="AA50" s="442">
        <v>250000</v>
      </c>
      <c r="AB50" s="442">
        <v>250000</v>
      </c>
      <c r="AC50" s="442">
        <f>IF(X48=1,AA50,AB50)</f>
        <v>250000</v>
      </c>
      <c r="AD50" s="442">
        <v>0</v>
      </c>
    </row>
    <row r="51" spans="1:30" ht="12" customHeight="1">
      <c r="A51" s="57"/>
      <c r="B51" s="362"/>
      <c r="C51" s="115" t="s">
        <v>239</v>
      </c>
      <c r="D51" s="702" t="s">
        <v>543</v>
      </c>
      <c r="E51" s="702"/>
      <c r="F51" s="702"/>
      <c r="G51" s="702"/>
      <c r="H51" s="702"/>
      <c r="I51" s="133"/>
      <c r="J51" s="116" t="s">
        <v>222</v>
      </c>
      <c r="K51" s="117"/>
      <c r="L51" s="118"/>
      <c r="M51" s="369">
        <f>AD54</f>
        <v>0</v>
      </c>
      <c r="N51" s="451"/>
      <c r="W51" s="442" t="str">
        <f>D49</f>
        <v>Rs.2,50,001 To 5,00,000.    (@ 10%)</v>
      </c>
      <c r="AA51" s="442">
        <f>IF(AND(Z49&gt;500000),250000,IF(AND(Z49&gt;250000,Z49&lt;=500000),Z49-250000,0))</f>
        <v>115390</v>
      </c>
      <c r="AB51" s="442">
        <f>IF(AND(Z49&gt;500000),250000,IF(AND(Z49&gt;250000,Z49&lt;=500000),Z49-250000,0))</f>
        <v>115390</v>
      </c>
      <c r="AC51" s="442">
        <f>IF(X49=1,AA51,AB51)</f>
        <v>115390</v>
      </c>
      <c r="AD51" s="442">
        <f>ROUND(AC51*10%,0.1)</f>
        <v>11539</v>
      </c>
    </row>
    <row r="52" spans="1:14" ht="12" customHeight="1">
      <c r="A52" s="57"/>
      <c r="B52" s="362">
        <v>16</v>
      </c>
      <c r="C52" s="661" t="s">
        <v>544</v>
      </c>
      <c r="D52" s="662"/>
      <c r="E52" s="662"/>
      <c r="F52" s="662"/>
      <c r="G52" s="662"/>
      <c r="H52" s="662"/>
      <c r="I52" s="662"/>
      <c r="J52" s="116" t="s">
        <v>222</v>
      </c>
      <c r="K52" s="117"/>
      <c r="L52" s="118"/>
      <c r="M52" s="369">
        <f>IF(AND(M46&lt;200001),0,IF(AND(M46&gt;500000),0,IF(AND(M49&lt;=2000),M49,2000)))</f>
        <v>2000</v>
      </c>
      <c r="N52" s="458"/>
    </row>
    <row r="53" spans="1:30" ht="12.75" customHeight="1">
      <c r="A53" s="57"/>
      <c r="B53" s="362">
        <v>17</v>
      </c>
      <c r="C53" s="689" t="s">
        <v>252</v>
      </c>
      <c r="D53" s="666"/>
      <c r="E53" s="666"/>
      <c r="F53" s="666"/>
      <c r="G53" s="666"/>
      <c r="H53" s="666"/>
      <c r="I53" s="133"/>
      <c r="J53" s="116" t="s">
        <v>222</v>
      </c>
      <c r="K53" s="141"/>
      <c r="L53" s="118"/>
      <c r="M53" s="369">
        <f>IF(AND(M49&lt;=2000),0,IF(AND(M46&lt;=500000),W58,X58))</f>
        <v>95</v>
      </c>
      <c r="N53" s="448"/>
      <c r="W53" s="442" t="str">
        <f>D50</f>
        <v>Rs.5,00,001 To 10,00,000.   (@ 20%)</v>
      </c>
      <c r="AA53" s="442">
        <f>IF(AND(Z49&gt;1000000),500000,IF(AND(Z49&gt;500000,Z49&lt;=1000000),Z49-500000,0))</f>
        <v>0</v>
      </c>
      <c r="AB53" s="442">
        <f>AA53</f>
        <v>0</v>
      </c>
      <c r="AC53" s="442">
        <f>IF(X50=1,AA53,AB53)</f>
        <v>0</v>
      </c>
      <c r="AD53" s="442">
        <f>ROUND(AC53*20%,0.1)</f>
        <v>0</v>
      </c>
    </row>
    <row r="54" spans="1:30" ht="12.75" customHeight="1">
      <c r="A54" s="57"/>
      <c r="B54" s="362">
        <v>18</v>
      </c>
      <c r="C54" s="689" t="s">
        <v>253</v>
      </c>
      <c r="D54" s="666"/>
      <c r="E54" s="666"/>
      <c r="F54" s="666"/>
      <c r="G54" s="666"/>
      <c r="H54" s="666"/>
      <c r="I54" s="133"/>
      <c r="J54" s="116" t="s">
        <v>222</v>
      </c>
      <c r="K54" s="141"/>
      <c r="L54" s="118"/>
      <c r="M54" s="369">
        <f>IF(AND(M49&lt;=2000),0,IF(AND(M46&lt;=500000),W59,X59))</f>
        <v>191</v>
      </c>
      <c r="N54" s="448"/>
      <c r="O54" s="452"/>
      <c r="W54" s="442" t="str">
        <f>D51</f>
        <v>above Rs.10,00,001.          (@ 30%)</v>
      </c>
      <c r="AA54" s="442">
        <f>IF(AND(Z49&gt;1000000),Z49-1000000,0)</f>
        <v>0</v>
      </c>
      <c r="AB54" s="442">
        <f>AA54</f>
        <v>0</v>
      </c>
      <c r="AC54" s="442">
        <f>IF(X51=1,AA54,AB54)</f>
        <v>0</v>
      </c>
      <c r="AD54" s="442">
        <f>ROUND(AC54*30%,0.1)</f>
        <v>0</v>
      </c>
    </row>
    <row r="55" spans="1:29" ht="27.75" customHeight="1">
      <c r="A55" s="57"/>
      <c r="B55" s="459">
        <v>19</v>
      </c>
      <c r="C55" s="697" t="s">
        <v>545</v>
      </c>
      <c r="D55" s="698"/>
      <c r="E55" s="698"/>
      <c r="F55" s="698"/>
      <c r="G55" s="698"/>
      <c r="H55" s="698"/>
      <c r="I55" s="699"/>
      <c r="J55" s="116" t="s">
        <v>222</v>
      </c>
      <c r="K55" s="117"/>
      <c r="L55" s="118"/>
      <c r="M55" s="460">
        <f>SUM(M49,M50,M51,M53,M54)-M52</f>
        <v>9825</v>
      </c>
      <c r="N55" s="447"/>
      <c r="AA55" s="442">
        <f>SUM(AA50:AA54)</f>
        <v>365390</v>
      </c>
      <c r="AB55" s="442">
        <f>SUM(AB50:AB54)</f>
        <v>365390</v>
      </c>
      <c r="AC55" s="442">
        <f>SUM(AC50:AC54)</f>
        <v>365390</v>
      </c>
    </row>
    <row r="56" spans="1:14" ht="12.75" customHeight="1">
      <c r="A56" s="57"/>
      <c r="B56" s="362">
        <v>20</v>
      </c>
      <c r="C56" s="661" t="s">
        <v>277</v>
      </c>
      <c r="D56" s="662"/>
      <c r="E56" s="662"/>
      <c r="F56" s="662"/>
      <c r="G56" s="662"/>
      <c r="H56" s="662"/>
      <c r="I56" s="142"/>
      <c r="J56" s="116" t="s">
        <v>222</v>
      </c>
      <c r="K56" s="117"/>
      <c r="L56" s="118"/>
      <c r="M56" s="369"/>
      <c r="N56" s="448"/>
    </row>
    <row r="57" spans="1:14" ht="13.5" customHeight="1">
      <c r="A57" s="57"/>
      <c r="B57" s="362"/>
      <c r="C57" s="115" t="s">
        <v>224</v>
      </c>
      <c r="D57" s="98" t="s">
        <v>254</v>
      </c>
      <c r="E57" s="705">
        <v>41944</v>
      </c>
      <c r="F57" s="705"/>
      <c r="G57" s="143" t="s">
        <v>222</v>
      </c>
      <c r="H57" s="144">
        <f>SUM(DATA!P19:P27)</f>
        <v>0</v>
      </c>
      <c r="I57" s="133"/>
      <c r="J57" s="145"/>
      <c r="K57" s="113"/>
      <c r="L57" s="114"/>
      <c r="M57" s="371"/>
      <c r="N57" s="448"/>
    </row>
    <row r="58" spans="1:24" ht="13.5" customHeight="1">
      <c r="A58" s="57"/>
      <c r="B58" s="362"/>
      <c r="C58" s="115" t="s">
        <v>226</v>
      </c>
      <c r="D58" s="98"/>
      <c r="E58" s="705">
        <v>41974</v>
      </c>
      <c r="F58" s="705"/>
      <c r="G58" s="143" t="s">
        <v>222</v>
      </c>
      <c r="H58" s="144">
        <f>DATA!P28</f>
        <v>0</v>
      </c>
      <c r="I58" s="133"/>
      <c r="J58" s="145"/>
      <c r="K58" s="113"/>
      <c r="L58" s="114"/>
      <c r="M58" s="371"/>
      <c r="N58" s="448"/>
      <c r="W58" s="442">
        <f>ROUND((M49-M52)*1%,0.1)</f>
        <v>95</v>
      </c>
      <c r="X58" s="442">
        <f>ROUND((M49+M50+M51)*1%,0.1)</f>
        <v>115</v>
      </c>
    </row>
    <row r="59" spans="1:24" ht="13.5" customHeight="1">
      <c r="A59" s="57"/>
      <c r="B59" s="362"/>
      <c r="C59" s="115" t="s">
        <v>227</v>
      </c>
      <c r="D59" s="98"/>
      <c r="E59" s="705">
        <v>42005</v>
      </c>
      <c r="F59" s="705"/>
      <c r="G59" s="143" t="s">
        <v>222</v>
      </c>
      <c r="H59" s="144">
        <f>DATA!P29</f>
        <v>0</v>
      </c>
      <c r="I59" s="133"/>
      <c r="J59" s="145"/>
      <c r="K59" s="113"/>
      <c r="L59" s="114"/>
      <c r="M59" s="371"/>
      <c r="N59" s="448"/>
      <c r="W59" s="442">
        <f>ROUND((M49-M52)*2%,0.1)</f>
        <v>191</v>
      </c>
      <c r="X59" s="442">
        <f>ROUND((M49+M50+M51)*2%,0.1)</f>
        <v>231</v>
      </c>
    </row>
    <row r="60" spans="1:14" ht="13.5" customHeight="1">
      <c r="A60" s="57"/>
      <c r="B60" s="362"/>
      <c r="C60" s="115"/>
      <c r="D60" s="666" t="s">
        <v>278</v>
      </c>
      <c r="E60" s="666"/>
      <c r="F60" s="666"/>
      <c r="G60" s="666"/>
      <c r="H60" s="146">
        <f>SUM(H57:H59)</f>
        <v>0</v>
      </c>
      <c r="I60" s="133"/>
      <c r="J60" s="145"/>
      <c r="K60" s="113"/>
      <c r="L60" s="114"/>
      <c r="M60" s="371"/>
      <c r="N60" s="448"/>
    </row>
    <row r="61" spans="1:14" ht="15" customHeight="1">
      <c r="A61" s="57"/>
      <c r="B61" s="462">
        <v>21</v>
      </c>
      <c r="C61" s="703" t="s">
        <v>279</v>
      </c>
      <c r="D61" s="704"/>
      <c r="E61" s="704"/>
      <c r="F61" s="704"/>
      <c r="G61" s="704"/>
      <c r="H61" s="704"/>
      <c r="I61" s="147"/>
      <c r="J61" s="148" t="s">
        <v>222</v>
      </c>
      <c r="K61" s="149"/>
      <c r="L61" s="150"/>
      <c r="M61" s="372">
        <f>M55-H60</f>
        <v>9825</v>
      </c>
      <c r="N61" s="448"/>
    </row>
    <row r="62" spans="1:14" ht="12" customHeight="1">
      <c r="A62" s="57"/>
      <c r="B62" s="373"/>
      <c r="C62" s="65"/>
      <c r="D62" s="65"/>
      <c r="E62" s="65"/>
      <c r="F62" s="65"/>
      <c r="G62" s="65"/>
      <c r="H62" s="65"/>
      <c r="I62" s="65"/>
      <c r="J62" s="62"/>
      <c r="K62" s="62"/>
      <c r="L62" s="71"/>
      <c r="M62" s="374"/>
      <c r="N62" s="448"/>
    </row>
    <row r="63" spans="1:14" s="454" customFormat="1" ht="28.5" customHeight="1">
      <c r="A63" s="59"/>
      <c r="B63" s="375"/>
      <c r="C63" s="69"/>
      <c r="D63" s="69"/>
      <c r="E63" s="69"/>
      <c r="F63" s="69"/>
      <c r="G63" s="69"/>
      <c r="H63" s="69"/>
      <c r="I63" s="65"/>
      <c r="J63" s="62"/>
      <c r="K63" s="62"/>
      <c r="L63" s="62"/>
      <c r="M63" s="376"/>
      <c r="N63" s="453"/>
    </row>
    <row r="64" spans="1:14" s="454" customFormat="1" ht="15.75" thickBot="1">
      <c r="A64" s="59"/>
      <c r="B64" s="693" t="s">
        <v>255</v>
      </c>
      <c r="C64" s="694"/>
      <c r="D64" s="694"/>
      <c r="E64" s="694"/>
      <c r="F64" s="694"/>
      <c r="G64" s="694"/>
      <c r="H64" s="694"/>
      <c r="I64" s="379"/>
      <c r="J64" s="700" t="s">
        <v>256</v>
      </c>
      <c r="K64" s="700"/>
      <c r="L64" s="700"/>
      <c r="M64" s="701"/>
      <c r="N64" s="453"/>
    </row>
    <row r="65" spans="1:14" s="454" customFormat="1" ht="6" customHeight="1" thickBot="1">
      <c r="A65" s="59"/>
      <c r="B65" s="377" t="s">
        <v>280</v>
      </c>
      <c r="C65" s="378"/>
      <c r="D65" s="378"/>
      <c r="E65" s="378"/>
      <c r="F65" s="378"/>
      <c r="G65" s="378"/>
      <c r="H65" s="378"/>
      <c r="I65" s="379"/>
      <c r="J65" s="380"/>
      <c r="K65" s="380"/>
      <c r="L65" s="381"/>
      <c r="M65" s="382"/>
      <c r="N65" s="448"/>
    </row>
    <row r="66" spans="1:14" s="454" customFormat="1" ht="3" customHeight="1" thickBot="1">
      <c r="A66" s="59"/>
      <c r="B66" s="383"/>
      <c r="C66" s="378"/>
      <c r="D66" s="378"/>
      <c r="E66" s="378"/>
      <c r="F66" s="378"/>
      <c r="G66" s="378"/>
      <c r="H66" s="378"/>
      <c r="I66" s="379"/>
      <c r="J66" s="380"/>
      <c r="K66" s="380"/>
      <c r="L66" s="381"/>
      <c r="M66" s="382"/>
      <c r="N66" s="448"/>
    </row>
    <row r="67" spans="1:14" s="454" customFormat="1" ht="14.25" customHeight="1">
      <c r="A67" s="59"/>
      <c r="B67" s="69" t="s">
        <v>507</v>
      </c>
      <c r="C67" s="59"/>
      <c r="D67" s="59"/>
      <c r="E67" s="59"/>
      <c r="F67" s="59"/>
      <c r="G67" s="66"/>
      <c r="H67" s="59"/>
      <c r="I67" s="59"/>
      <c r="J67" s="73"/>
      <c r="K67" s="73"/>
      <c r="L67" s="71"/>
      <c r="M67" s="71"/>
      <c r="N67" s="448"/>
    </row>
    <row r="68" spans="1:14" s="454" customFormat="1" ht="15" hidden="1">
      <c r="A68" s="321"/>
      <c r="B68" s="321"/>
      <c r="C68" s="321"/>
      <c r="D68" s="321"/>
      <c r="E68" s="321"/>
      <c r="F68" s="321"/>
      <c r="G68" s="321"/>
      <c r="H68" s="321"/>
      <c r="I68" s="321"/>
      <c r="J68" s="323"/>
      <c r="K68" s="323"/>
      <c r="L68" s="324"/>
      <c r="M68" s="324"/>
      <c r="N68" s="455"/>
    </row>
    <row r="69" spans="1:14" s="454" customFormat="1" ht="16.5" hidden="1">
      <c r="A69" s="321"/>
      <c r="B69" s="322"/>
      <c r="C69" s="322"/>
      <c r="D69" s="322"/>
      <c r="E69" s="322"/>
      <c r="F69" s="322"/>
      <c r="G69" s="322"/>
      <c r="H69" s="322"/>
      <c r="I69" s="322"/>
      <c r="J69" s="323"/>
      <c r="K69" s="323"/>
      <c r="L69" s="324"/>
      <c r="M69" s="325"/>
      <c r="N69" s="455"/>
    </row>
    <row r="70" spans="1:14" s="454" customFormat="1" ht="16.5" hidden="1">
      <c r="A70" s="321"/>
      <c r="B70" s="322"/>
      <c r="C70" s="322"/>
      <c r="D70" s="322"/>
      <c r="E70" s="322"/>
      <c r="F70" s="322"/>
      <c r="G70" s="322"/>
      <c r="H70" s="322"/>
      <c r="I70" s="322"/>
      <c r="J70" s="323"/>
      <c r="K70" s="323"/>
      <c r="L70" s="324"/>
      <c r="M70" s="325"/>
      <c r="N70" s="456"/>
    </row>
    <row r="71" spans="1:14" s="454" customFormat="1" ht="16.5" hidden="1">
      <c r="A71" s="321"/>
      <c r="B71" s="322"/>
      <c r="C71" s="322"/>
      <c r="D71" s="322"/>
      <c r="E71" s="322"/>
      <c r="F71" s="322"/>
      <c r="G71" s="322"/>
      <c r="H71" s="322"/>
      <c r="I71" s="322"/>
      <c r="J71" s="323"/>
      <c r="K71" s="323"/>
      <c r="L71" s="324"/>
      <c r="M71" s="325"/>
      <c r="N71" s="456"/>
    </row>
    <row r="72" spans="1:14" s="454" customFormat="1" ht="16.5" hidden="1">
      <c r="A72" s="321"/>
      <c r="B72" s="322"/>
      <c r="C72" s="322"/>
      <c r="D72" s="322"/>
      <c r="E72" s="322"/>
      <c r="F72" s="322"/>
      <c r="G72" s="322"/>
      <c r="H72" s="322"/>
      <c r="I72" s="322"/>
      <c r="J72" s="323"/>
      <c r="K72" s="323"/>
      <c r="L72" s="323"/>
      <c r="M72" s="326"/>
      <c r="N72" s="456"/>
    </row>
    <row r="73" spans="1:14" s="454" customFormat="1" ht="16.5" hidden="1">
      <c r="A73" s="321"/>
      <c r="B73" s="322"/>
      <c r="C73" s="322"/>
      <c r="D73" s="322"/>
      <c r="E73" s="322"/>
      <c r="F73" s="322"/>
      <c r="G73" s="322"/>
      <c r="H73" s="322"/>
      <c r="I73" s="322"/>
      <c r="J73" s="323"/>
      <c r="K73" s="323"/>
      <c r="L73" s="323"/>
      <c r="M73" s="326"/>
      <c r="N73" s="457"/>
    </row>
    <row r="74" spans="1:14" s="454" customFormat="1" ht="16.5" hidden="1">
      <c r="A74" s="321"/>
      <c r="B74" s="322"/>
      <c r="C74" s="322"/>
      <c r="D74" s="322"/>
      <c r="E74" s="322"/>
      <c r="F74" s="322"/>
      <c r="G74" s="322"/>
      <c r="H74" s="322"/>
      <c r="I74" s="322"/>
      <c r="J74" s="323"/>
      <c r="K74" s="323"/>
      <c r="L74" s="323"/>
      <c r="M74" s="326"/>
      <c r="N74" s="457"/>
    </row>
    <row r="75" spans="1:14" s="454" customFormat="1" ht="16.5" hidden="1">
      <c r="A75" s="321"/>
      <c r="B75" s="321"/>
      <c r="C75" s="321"/>
      <c r="D75" s="321"/>
      <c r="E75" s="321"/>
      <c r="F75" s="321"/>
      <c r="G75" s="321"/>
      <c r="H75" s="321"/>
      <c r="I75" s="321"/>
      <c r="J75" s="323"/>
      <c r="K75" s="323"/>
      <c r="L75" s="323"/>
      <c r="M75" s="323"/>
      <c r="N75" s="457"/>
    </row>
    <row r="76" spans="1:13" s="454" customFormat="1" ht="15" hidden="1">
      <c r="A76" s="321"/>
      <c r="B76" s="321"/>
      <c r="C76" s="321"/>
      <c r="D76" s="321"/>
      <c r="E76" s="321"/>
      <c r="F76" s="321"/>
      <c r="G76" s="321"/>
      <c r="H76" s="321"/>
      <c r="I76" s="321"/>
      <c r="J76" s="323"/>
      <c r="K76" s="323"/>
      <c r="L76" s="323"/>
      <c r="M76" s="323"/>
    </row>
    <row r="77" spans="1:13" s="454" customFormat="1" ht="15" hidden="1">
      <c r="A77" s="321"/>
      <c r="B77" s="321"/>
      <c r="C77" s="321"/>
      <c r="D77" s="321"/>
      <c r="E77" s="321"/>
      <c r="F77" s="321"/>
      <c r="G77" s="321"/>
      <c r="H77" s="321"/>
      <c r="I77" s="321"/>
      <c r="J77" s="323"/>
      <c r="K77" s="323"/>
      <c r="L77" s="323"/>
      <c r="M77" s="323"/>
    </row>
    <row r="78" spans="1:13" s="454" customFormat="1" ht="15" hidden="1">
      <c r="A78" s="321"/>
      <c r="B78" s="321"/>
      <c r="C78" s="321"/>
      <c r="D78" s="321"/>
      <c r="E78" s="321"/>
      <c r="F78" s="321"/>
      <c r="G78" s="321"/>
      <c r="H78" s="321"/>
      <c r="I78" s="321"/>
      <c r="J78" s="323"/>
      <c r="K78" s="323"/>
      <c r="L78" s="323"/>
      <c r="M78" s="323"/>
    </row>
    <row r="79" spans="1:13" s="454" customFormat="1" ht="15" hidden="1">
      <c r="A79" s="321"/>
      <c r="B79" s="321"/>
      <c r="C79" s="321"/>
      <c r="D79" s="321"/>
      <c r="E79" s="321"/>
      <c r="F79" s="321"/>
      <c r="G79" s="321"/>
      <c r="H79" s="321"/>
      <c r="I79" s="321"/>
      <c r="J79" s="323"/>
      <c r="K79" s="323"/>
      <c r="L79" s="323"/>
      <c r="M79" s="323"/>
    </row>
    <row r="80" spans="1:13" s="454" customFormat="1" ht="15" hidden="1">
      <c r="A80" s="321"/>
      <c r="B80" s="321"/>
      <c r="C80" s="321"/>
      <c r="D80" s="321"/>
      <c r="E80" s="321"/>
      <c r="F80" s="321"/>
      <c r="G80" s="321"/>
      <c r="H80" s="321"/>
      <c r="I80" s="321"/>
      <c r="J80" s="323"/>
      <c r="K80" s="323"/>
      <c r="L80" s="323"/>
      <c r="M80" s="323"/>
    </row>
    <row r="81" spans="1:13" s="454" customFormat="1" ht="15" hidden="1">
      <c r="A81" s="321"/>
      <c r="B81" s="321"/>
      <c r="C81" s="321"/>
      <c r="D81" s="321"/>
      <c r="E81" s="321"/>
      <c r="F81" s="321"/>
      <c r="G81" s="321"/>
      <c r="H81" s="321"/>
      <c r="I81" s="321"/>
      <c r="J81" s="323"/>
      <c r="K81" s="323"/>
      <c r="L81" s="323"/>
      <c r="M81" s="323"/>
    </row>
    <row r="82" spans="1:13" s="454" customFormat="1" ht="15" hidden="1">
      <c r="A82" s="321"/>
      <c r="B82" s="321"/>
      <c r="C82" s="321"/>
      <c r="D82" s="321"/>
      <c r="E82" s="321"/>
      <c r="F82" s="321"/>
      <c r="G82" s="321"/>
      <c r="H82" s="321"/>
      <c r="I82" s="321"/>
      <c r="J82" s="323"/>
      <c r="K82" s="323"/>
      <c r="L82" s="323"/>
      <c r="M82" s="323"/>
    </row>
    <row r="83" spans="1:13" s="454" customFormat="1" ht="15" hidden="1">
      <c r="A83" s="321"/>
      <c r="B83" s="321"/>
      <c r="C83" s="321"/>
      <c r="D83" s="321"/>
      <c r="E83" s="321"/>
      <c r="F83" s="321"/>
      <c r="G83" s="321"/>
      <c r="H83" s="321"/>
      <c r="I83" s="321"/>
      <c r="J83" s="323"/>
      <c r="K83" s="323"/>
      <c r="L83" s="323"/>
      <c r="M83" s="323"/>
    </row>
    <row r="84" spans="1:13" s="454" customFormat="1" ht="15" hidden="1">
      <c r="A84" s="321"/>
      <c r="B84" s="321"/>
      <c r="C84" s="321"/>
      <c r="D84" s="321"/>
      <c r="E84" s="321"/>
      <c r="F84" s="321"/>
      <c r="G84" s="321"/>
      <c r="H84" s="321"/>
      <c r="I84" s="321"/>
      <c r="J84" s="323"/>
      <c r="K84" s="323"/>
      <c r="L84" s="323"/>
      <c r="M84" s="323"/>
    </row>
    <row r="85" spans="1:13" s="454" customFormat="1" ht="15" hidden="1">
      <c r="A85" s="321"/>
      <c r="B85" s="321"/>
      <c r="C85" s="321"/>
      <c r="D85" s="321"/>
      <c r="E85" s="321"/>
      <c r="F85" s="321"/>
      <c r="G85" s="321"/>
      <c r="H85" s="321"/>
      <c r="I85" s="321"/>
      <c r="J85" s="323"/>
      <c r="K85" s="323"/>
      <c r="L85" s="323"/>
      <c r="M85" s="323"/>
    </row>
    <row r="86" spans="1:13" s="454" customFormat="1" ht="15" hidden="1">
      <c r="A86" s="321"/>
      <c r="B86" s="321"/>
      <c r="C86" s="321"/>
      <c r="D86" s="321"/>
      <c r="E86" s="321"/>
      <c r="F86" s="321"/>
      <c r="G86" s="321"/>
      <c r="H86" s="321"/>
      <c r="I86" s="321"/>
      <c r="J86" s="323"/>
      <c r="K86" s="323"/>
      <c r="L86" s="323"/>
      <c r="M86" s="323"/>
    </row>
    <row r="87" spans="1:13" s="454" customFormat="1" ht="15" hidden="1">
      <c r="A87" s="321"/>
      <c r="B87" s="320"/>
      <c r="C87" s="320"/>
      <c r="D87" s="320"/>
      <c r="E87" s="320"/>
      <c r="F87" s="320"/>
      <c r="G87" s="320"/>
      <c r="H87" s="320"/>
      <c r="I87" s="320"/>
      <c r="J87" s="327"/>
      <c r="K87" s="327"/>
      <c r="L87" s="327"/>
      <c r="M87" s="327"/>
    </row>
  </sheetData>
  <sheetProtection password="9B76" sheet="1" selectLockedCells="1" selectUnlockedCells="1"/>
  <protectedRanges>
    <protectedRange sqref="B2:M61" name="Range1"/>
  </protectedRanges>
  <mergeCells count="65">
    <mergeCell ref="J64:M64"/>
    <mergeCell ref="D51:H51"/>
    <mergeCell ref="D60:G60"/>
    <mergeCell ref="C61:H61"/>
    <mergeCell ref="C53:H53"/>
    <mergeCell ref="C54:H54"/>
    <mergeCell ref="C52:I52"/>
    <mergeCell ref="E57:F57"/>
    <mergeCell ref="E59:F59"/>
    <mergeCell ref="E58:F58"/>
    <mergeCell ref="B64:H64"/>
    <mergeCell ref="D34:E34"/>
    <mergeCell ref="F43:H43"/>
    <mergeCell ref="C45:I45"/>
    <mergeCell ref="C55:I55"/>
    <mergeCell ref="D36:I36"/>
    <mergeCell ref="D33:F33"/>
    <mergeCell ref="C32:I32"/>
    <mergeCell ref="C31:I31"/>
    <mergeCell ref="D48:H48"/>
    <mergeCell ref="D49:H49"/>
    <mergeCell ref="C56:H56"/>
    <mergeCell ref="C46:I46"/>
    <mergeCell ref="D50:H50"/>
    <mergeCell ref="C47:H47"/>
    <mergeCell ref="D28:H28"/>
    <mergeCell ref="D29:I29"/>
    <mergeCell ref="C30:I30"/>
    <mergeCell ref="C44:F44"/>
    <mergeCell ref="D14:I14"/>
    <mergeCell ref="C17:I17"/>
    <mergeCell ref="D37:I37"/>
    <mergeCell ref="D25:H25"/>
    <mergeCell ref="D27:H27"/>
    <mergeCell ref="C20:I20"/>
    <mergeCell ref="C21:I21"/>
    <mergeCell ref="D22:H22"/>
    <mergeCell ref="C18:I18"/>
    <mergeCell ref="D24:H24"/>
    <mergeCell ref="C19:I19"/>
    <mergeCell ref="D23:I23"/>
    <mergeCell ref="D26:H26"/>
    <mergeCell ref="L6:M6"/>
    <mergeCell ref="B5:D5"/>
    <mergeCell ref="L5:M5"/>
    <mergeCell ref="E4:H4"/>
    <mergeCell ref="I4:K4"/>
    <mergeCell ref="C6:G6"/>
    <mergeCell ref="H6:J6"/>
    <mergeCell ref="C12:I12"/>
    <mergeCell ref="C7:I7"/>
    <mergeCell ref="G2:L2"/>
    <mergeCell ref="B4:D4"/>
    <mergeCell ref="L4:M4"/>
    <mergeCell ref="B2:F2"/>
    <mergeCell ref="B3:M3"/>
    <mergeCell ref="I5:K5"/>
    <mergeCell ref="C16:I16"/>
    <mergeCell ref="E5:H5"/>
    <mergeCell ref="C8:I8"/>
    <mergeCell ref="D15:H15"/>
    <mergeCell ref="D11:I11"/>
    <mergeCell ref="C13:I13"/>
    <mergeCell ref="D9:I9"/>
    <mergeCell ref="D10:I10"/>
  </mergeCells>
  <printOptions horizontalCentered="1" verticalCentered="1"/>
  <pageMargins left="0.56" right="0.19" top="0.48" bottom="0.32" header="0.3" footer="0.3"/>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B1:AD109"/>
  <sheetViews>
    <sheetView showGridLines="0" showRowColHeaders="0" zoomScalePageLayoutView="0" workbookViewId="0" topLeftCell="A13">
      <selection activeCell="L56" sqref="L56"/>
    </sheetView>
  </sheetViews>
  <sheetFormatPr defaultColWidth="0" defaultRowHeight="0" customHeight="1" zeroHeight="1"/>
  <cols>
    <col min="1" max="1" width="1.421875" style="57" customWidth="1"/>
    <col min="2" max="2" width="4.28125" style="57" customWidth="1"/>
    <col min="3" max="3" width="3.00390625" style="57" customWidth="1"/>
    <col min="4" max="4" width="15.7109375" style="57" customWidth="1"/>
    <col min="5" max="5" width="15.00390625" style="57" customWidth="1"/>
    <col min="6" max="6" width="2.8515625" style="57" customWidth="1"/>
    <col min="7" max="7" width="9.28125" style="57" customWidth="1"/>
    <col min="8" max="8" width="0.71875" style="57" customWidth="1"/>
    <col min="9" max="9" width="2.8515625" style="57" customWidth="1"/>
    <col min="10" max="10" width="10.00390625" style="57" customWidth="1"/>
    <col min="11" max="11" width="2.8515625" style="57" customWidth="1"/>
    <col min="12" max="12" width="10.00390625" style="57" customWidth="1"/>
    <col min="13" max="13" width="2.8515625" style="57" customWidth="1"/>
    <col min="14" max="14" width="10.7109375" style="57" customWidth="1"/>
    <col min="15" max="15" width="2.00390625" style="57" customWidth="1"/>
    <col min="16" max="24" width="10.7109375" style="57" hidden="1" customWidth="1"/>
    <col min="25" max="25" width="9.140625" style="57" hidden="1" customWidth="1"/>
    <col min="26" max="26" width="9.140625" style="58" hidden="1" customWidth="1"/>
    <col min="27" max="28" width="9.140625" style="57" hidden="1" customWidth="1"/>
    <col min="29" max="29" width="36.28125" style="57" hidden="1" customWidth="1"/>
    <col min="30" max="255" width="9.140625" style="57" hidden="1" customWidth="1"/>
    <col min="256" max="16384" width="17.140625" style="57" hidden="1" customWidth="1"/>
  </cols>
  <sheetData>
    <row r="1" spans="2:24" ht="36" customHeight="1">
      <c r="B1" s="749" t="s">
        <v>508</v>
      </c>
      <c r="C1" s="750"/>
      <c r="D1" s="750"/>
      <c r="E1" s="750"/>
      <c r="F1" s="750"/>
      <c r="G1" s="750"/>
      <c r="H1" s="750"/>
      <c r="I1" s="750"/>
      <c r="J1" s="750"/>
      <c r="K1" s="750"/>
      <c r="L1" s="750"/>
      <c r="M1" s="750"/>
      <c r="N1" s="751"/>
      <c r="O1" s="506"/>
      <c r="P1" s="506"/>
      <c r="Q1" s="506"/>
      <c r="R1" s="506"/>
      <c r="S1" s="506"/>
      <c r="T1" s="506"/>
      <c r="U1" s="506"/>
      <c r="V1" s="506"/>
      <c r="W1" s="506"/>
      <c r="X1" s="506"/>
    </row>
    <row r="2" spans="2:24" ht="11.25" customHeight="1">
      <c r="B2" s="752" t="s">
        <v>281</v>
      </c>
      <c r="C2" s="753"/>
      <c r="D2" s="753"/>
      <c r="E2" s="753"/>
      <c r="F2" s="753"/>
      <c r="G2" s="753"/>
      <c r="H2" s="753"/>
      <c r="I2" s="753"/>
      <c r="J2" s="753"/>
      <c r="K2" s="753"/>
      <c r="L2" s="753"/>
      <c r="M2" s="753"/>
      <c r="N2" s="754"/>
      <c r="O2" s="507"/>
      <c r="P2" s="507"/>
      <c r="Q2" s="507"/>
      <c r="R2" s="507"/>
      <c r="S2" s="507"/>
      <c r="T2" s="507"/>
      <c r="U2" s="507"/>
      <c r="V2" s="507"/>
      <c r="W2" s="507"/>
      <c r="X2" s="507"/>
    </row>
    <row r="3" spans="2:24" ht="16.5" customHeight="1">
      <c r="B3" s="752"/>
      <c r="C3" s="753"/>
      <c r="D3" s="753"/>
      <c r="E3" s="753"/>
      <c r="F3" s="753"/>
      <c r="G3" s="753"/>
      <c r="H3" s="753"/>
      <c r="I3" s="753"/>
      <c r="J3" s="753"/>
      <c r="K3" s="753"/>
      <c r="L3" s="753"/>
      <c r="M3" s="753"/>
      <c r="N3" s="754"/>
      <c r="O3" s="507"/>
      <c r="P3" s="507"/>
      <c r="Q3" s="507"/>
      <c r="R3" s="507"/>
      <c r="S3" s="507"/>
      <c r="T3" s="507"/>
      <c r="U3" s="507"/>
      <c r="V3" s="507"/>
      <c r="W3" s="507"/>
      <c r="X3" s="507"/>
    </row>
    <row r="4" spans="2:24" ht="15" customHeight="1">
      <c r="B4" s="755" t="s">
        <v>282</v>
      </c>
      <c r="C4" s="756"/>
      <c r="D4" s="756"/>
      <c r="E4" s="756"/>
      <c r="F4" s="756"/>
      <c r="G4" s="756"/>
      <c r="H4" s="756"/>
      <c r="I4" s="757" t="s">
        <v>283</v>
      </c>
      <c r="J4" s="756"/>
      <c r="K4" s="756"/>
      <c r="L4" s="756"/>
      <c r="M4" s="756"/>
      <c r="N4" s="758"/>
      <c r="O4" s="508"/>
      <c r="P4" s="508"/>
      <c r="Q4" s="508"/>
      <c r="R4" s="508"/>
      <c r="S4" s="508"/>
      <c r="T4" s="508"/>
      <c r="U4" s="508"/>
      <c r="V4" s="508"/>
      <c r="W4" s="508"/>
      <c r="X4" s="508"/>
    </row>
    <row r="5" spans="2:24" ht="3.75" customHeight="1">
      <c r="B5" s="151"/>
      <c r="C5" s="97"/>
      <c r="D5" s="97"/>
      <c r="E5" s="97"/>
      <c r="F5" s="97"/>
      <c r="G5" s="97"/>
      <c r="H5" s="97"/>
      <c r="I5" s="152"/>
      <c r="J5" s="97"/>
      <c r="K5" s="97"/>
      <c r="L5" s="97"/>
      <c r="M5" s="97"/>
      <c r="N5" s="153"/>
      <c r="O5" s="509"/>
      <c r="P5" s="509"/>
      <c r="Q5" s="509"/>
      <c r="R5" s="509"/>
      <c r="S5" s="509"/>
      <c r="T5" s="509"/>
      <c r="U5" s="509"/>
      <c r="V5" s="509"/>
      <c r="W5" s="509"/>
      <c r="X5" s="509"/>
    </row>
    <row r="6" spans="2:24" ht="13.5" customHeight="1">
      <c r="B6" s="744" t="str">
        <f>CONCATENATE(DATA!C26,",")</f>
        <v>S Ramachandrudu,</v>
      </c>
      <c r="C6" s="745"/>
      <c r="D6" s="745"/>
      <c r="E6" s="745"/>
      <c r="F6" s="745"/>
      <c r="G6" s="745"/>
      <c r="H6" s="745"/>
      <c r="I6" s="664" t="str">
        <f>'Annexure -II'!E4</f>
        <v>G.Venugopal</v>
      </c>
      <c r="J6" s="665"/>
      <c r="K6" s="665"/>
      <c r="L6" s="665"/>
      <c r="M6" s="665"/>
      <c r="N6" s="746"/>
      <c r="O6" s="60"/>
      <c r="P6" s="60"/>
      <c r="Q6" s="60"/>
      <c r="R6" s="60"/>
      <c r="S6" s="60"/>
      <c r="T6" s="60"/>
      <c r="U6" s="60"/>
      <c r="V6" s="60"/>
      <c r="W6" s="60"/>
      <c r="X6" s="60"/>
    </row>
    <row r="7" spans="2:24" ht="13.5" customHeight="1">
      <c r="B7" s="744" t="str">
        <f>CONCATENATE(DATA!C27,",")</f>
        <v>Mandal Educational Officer,</v>
      </c>
      <c r="C7" s="745"/>
      <c r="D7" s="745"/>
      <c r="E7" s="745"/>
      <c r="F7" s="745"/>
      <c r="G7" s="745"/>
      <c r="H7" s="745"/>
      <c r="I7" s="664" t="str">
        <f>'Annexure -II'!E5</f>
        <v>SGT</v>
      </c>
      <c r="J7" s="665"/>
      <c r="K7" s="665"/>
      <c r="L7" s="665"/>
      <c r="M7" s="665"/>
      <c r="N7" s="746"/>
      <c r="O7" s="60"/>
      <c r="P7" s="60"/>
      <c r="Q7" s="60"/>
      <c r="R7" s="60"/>
      <c r="S7" s="60"/>
      <c r="T7" s="60"/>
      <c r="U7" s="60"/>
      <c r="V7" s="60"/>
      <c r="W7" s="60"/>
      <c r="X7" s="60"/>
    </row>
    <row r="8" spans="2:24" ht="13.5" customHeight="1">
      <c r="B8" s="744" t="str">
        <f>CONCATENATE("O/o ",DATA!I28,",")</f>
        <v>O/o MEO,</v>
      </c>
      <c r="C8" s="745"/>
      <c r="D8" s="745"/>
      <c r="E8" s="745"/>
      <c r="F8" s="745"/>
      <c r="G8" s="745"/>
      <c r="H8" s="747"/>
      <c r="I8" s="664" t="str">
        <f>'Annexure -II'!L4</f>
        <v>MPPS, NN Colony, Dhone</v>
      </c>
      <c r="J8" s="665"/>
      <c r="K8" s="665"/>
      <c r="L8" s="665"/>
      <c r="M8" s="665"/>
      <c r="N8" s="746"/>
      <c r="O8" s="60"/>
      <c r="P8" s="60"/>
      <c r="Q8" s="60"/>
      <c r="R8" s="60"/>
      <c r="S8" s="60"/>
      <c r="T8" s="60"/>
      <c r="U8" s="60"/>
      <c r="V8" s="60"/>
      <c r="W8" s="60"/>
      <c r="X8" s="60"/>
    </row>
    <row r="9" spans="2:24" ht="13.5" customHeight="1">
      <c r="B9" s="744" t="str">
        <f>CONCATENATE("Mandal: ",DATA!L4)</f>
        <v>Mandal: Dhone</v>
      </c>
      <c r="C9" s="745"/>
      <c r="D9" s="745"/>
      <c r="E9" s="745"/>
      <c r="F9" s="745"/>
      <c r="G9" s="745"/>
      <c r="H9" s="745"/>
      <c r="I9" s="664" t="str">
        <f>'Annexure -II'!L5</f>
        <v>Dhone</v>
      </c>
      <c r="J9" s="665"/>
      <c r="K9" s="665"/>
      <c r="L9" s="665"/>
      <c r="M9" s="665"/>
      <c r="N9" s="746"/>
      <c r="O9" s="60"/>
      <c r="P9" s="60"/>
      <c r="Q9" s="60"/>
      <c r="R9" s="60"/>
      <c r="S9" s="60"/>
      <c r="T9" s="60"/>
      <c r="U9" s="60"/>
      <c r="V9" s="60"/>
      <c r="W9" s="60"/>
      <c r="X9" s="60"/>
    </row>
    <row r="10" spans="2:24" ht="3.75" customHeight="1">
      <c r="B10" s="712"/>
      <c r="C10" s="713"/>
      <c r="D10" s="713"/>
      <c r="E10" s="713"/>
      <c r="F10" s="713"/>
      <c r="G10" s="713"/>
      <c r="H10" s="714"/>
      <c r="I10" s="725"/>
      <c r="J10" s="713"/>
      <c r="K10" s="713"/>
      <c r="L10" s="713"/>
      <c r="M10" s="713"/>
      <c r="N10" s="726"/>
      <c r="O10" s="60"/>
      <c r="P10" s="60"/>
      <c r="Q10" s="60"/>
      <c r="R10" s="60"/>
      <c r="S10" s="60"/>
      <c r="T10" s="60"/>
      <c r="U10" s="60"/>
      <c r="V10" s="60"/>
      <c r="W10" s="60"/>
      <c r="X10" s="60"/>
    </row>
    <row r="11" spans="2:24" ht="13.5" customHeight="1">
      <c r="B11" s="727" t="s">
        <v>284</v>
      </c>
      <c r="C11" s="716"/>
      <c r="D11" s="728"/>
      <c r="E11" s="715">
        <f>DATA!C28</f>
        <v>0</v>
      </c>
      <c r="F11" s="716"/>
      <c r="G11" s="728"/>
      <c r="H11" s="154"/>
      <c r="I11" s="729" t="s">
        <v>285</v>
      </c>
      <c r="J11" s="730"/>
      <c r="K11" s="731"/>
      <c r="L11" s="715" t="str">
        <f>DATA!L14</f>
        <v>AJVPG9142R</v>
      </c>
      <c r="M11" s="716"/>
      <c r="N11" s="717"/>
      <c r="O11" s="508"/>
      <c r="P11" s="508"/>
      <c r="Q11" s="508"/>
      <c r="R11" s="508"/>
      <c r="S11" s="508"/>
      <c r="T11" s="508"/>
      <c r="U11" s="508"/>
      <c r="V11" s="508"/>
      <c r="W11" s="508"/>
      <c r="X11" s="508"/>
    </row>
    <row r="12" spans="2:24" ht="26.25" customHeight="1">
      <c r="B12" s="721" t="s">
        <v>286</v>
      </c>
      <c r="C12" s="722"/>
      <c r="D12" s="722"/>
      <c r="E12" s="722"/>
      <c r="F12" s="722"/>
      <c r="G12" s="722"/>
      <c r="H12" s="723"/>
      <c r="I12" s="722"/>
      <c r="J12" s="722"/>
      <c r="K12" s="722"/>
      <c r="L12" s="722"/>
      <c r="M12" s="722"/>
      <c r="N12" s="724"/>
      <c r="O12" s="510"/>
      <c r="P12" s="510"/>
      <c r="Q12" s="510"/>
      <c r="R12" s="510"/>
      <c r="S12" s="510"/>
      <c r="T12" s="510"/>
      <c r="U12" s="510"/>
      <c r="V12" s="510"/>
      <c r="W12" s="510"/>
      <c r="X12" s="510"/>
    </row>
    <row r="13" spans="2:24" ht="14.25" customHeight="1">
      <c r="B13" s="718" t="s">
        <v>287</v>
      </c>
      <c r="C13" s="719"/>
      <c r="D13" s="719"/>
      <c r="E13" s="719" t="s">
        <v>288</v>
      </c>
      <c r="F13" s="719"/>
      <c r="G13" s="719"/>
      <c r="H13" s="719"/>
      <c r="I13" s="719" t="s">
        <v>289</v>
      </c>
      <c r="J13" s="719"/>
      <c r="K13" s="719"/>
      <c r="L13" s="720"/>
      <c r="M13" s="742" t="s">
        <v>290</v>
      </c>
      <c r="N13" s="743"/>
      <c r="O13" s="508"/>
      <c r="P13" s="508"/>
      <c r="Q13" s="508"/>
      <c r="R13" s="508"/>
      <c r="S13" s="508"/>
      <c r="T13" s="508"/>
      <c r="U13" s="508"/>
      <c r="V13" s="508"/>
      <c r="W13" s="508"/>
      <c r="X13" s="508"/>
    </row>
    <row r="14" spans="2:24" ht="11.25" customHeight="1">
      <c r="B14" s="718">
        <v>1</v>
      </c>
      <c r="C14" s="719"/>
      <c r="D14" s="719"/>
      <c r="E14" s="719"/>
      <c r="F14" s="719"/>
      <c r="G14" s="719"/>
      <c r="H14" s="719"/>
      <c r="I14" s="719" t="s">
        <v>291</v>
      </c>
      <c r="J14" s="719"/>
      <c r="K14" s="719" t="s">
        <v>292</v>
      </c>
      <c r="L14" s="720"/>
      <c r="M14" s="720" t="s">
        <v>293</v>
      </c>
      <c r="N14" s="733"/>
      <c r="O14" s="508"/>
      <c r="P14" s="508"/>
      <c r="Q14" s="508"/>
      <c r="R14" s="508"/>
      <c r="S14" s="508"/>
      <c r="T14" s="508"/>
      <c r="U14" s="508"/>
      <c r="V14" s="508"/>
      <c r="W14" s="508"/>
      <c r="X14" s="508"/>
    </row>
    <row r="15" spans="2:24" ht="10.5" customHeight="1">
      <c r="B15" s="748">
        <v>2</v>
      </c>
      <c r="C15" s="741"/>
      <c r="D15" s="741"/>
      <c r="E15" s="741"/>
      <c r="F15" s="741"/>
      <c r="G15" s="741"/>
      <c r="H15" s="741"/>
      <c r="I15" s="769" t="s">
        <v>536</v>
      </c>
      <c r="J15" s="770"/>
      <c r="K15" s="769" t="s">
        <v>604</v>
      </c>
      <c r="L15" s="775"/>
      <c r="M15" s="772" t="s">
        <v>605</v>
      </c>
      <c r="N15" s="778"/>
      <c r="O15" s="511"/>
      <c r="P15" s="511"/>
      <c r="Q15" s="511"/>
      <c r="R15" s="511"/>
      <c r="S15" s="511"/>
      <c r="T15" s="511"/>
      <c r="U15" s="511"/>
      <c r="V15" s="511"/>
      <c r="W15" s="511"/>
      <c r="X15" s="511"/>
    </row>
    <row r="16" spans="2:24" ht="10.5" customHeight="1">
      <c r="B16" s="748">
        <v>3</v>
      </c>
      <c r="C16" s="741"/>
      <c r="D16" s="741"/>
      <c r="E16" s="741"/>
      <c r="F16" s="741"/>
      <c r="G16" s="741"/>
      <c r="H16" s="741"/>
      <c r="I16" s="771"/>
      <c r="J16" s="772"/>
      <c r="K16" s="771"/>
      <c r="L16" s="776"/>
      <c r="M16" s="772"/>
      <c r="N16" s="778"/>
      <c r="O16" s="511"/>
      <c r="P16" s="511"/>
      <c r="Q16" s="511"/>
      <c r="R16" s="511"/>
      <c r="S16" s="511"/>
      <c r="T16" s="511"/>
      <c r="U16" s="511"/>
      <c r="V16" s="511"/>
      <c r="W16" s="511"/>
      <c r="X16" s="511"/>
    </row>
    <row r="17" spans="2:24" ht="10.5" customHeight="1">
      <c r="B17" s="748">
        <v>4</v>
      </c>
      <c r="C17" s="741"/>
      <c r="D17" s="741"/>
      <c r="E17" s="741"/>
      <c r="F17" s="741"/>
      <c r="G17" s="741"/>
      <c r="H17" s="741"/>
      <c r="I17" s="773"/>
      <c r="J17" s="774"/>
      <c r="K17" s="773"/>
      <c r="L17" s="777"/>
      <c r="M17" s="774"/>
      <c r="N17" s="779"/>
      <c r="O17" s="511"/>
      <c r="P17" s="511"/>
      <c r="Q17" s="511"/>
      <c r="R17" s="511"/>
      <c r="S17" s="511"/>
      <c r="T17" s="511"/>
      <c r="U17" s="511"/>
      <c r="V17" s="511"/>
      <c r="W17" s="511"/>
      <c r="X17" s="511"/>
    </row>
    <row r="18" spans="2:26" ht="15" customHeight="1">
      <c r="B18" s="766" t="s">
        <v>294</v>
      </c>
      <c r="C18" s="767"/>
      <c r="D18" s="767"/>
      <c r="E18" s="767"/>
      <c r="F18" s="767"/>
      <c r="G18" s="767"/>
      <c r="H18" s="767"/>
      <c r="I18" s="767"/>
      <c r="J18" s="767"/>
      <c r="K18" s="767"/>
      <c r="L18" s="767"/>
      <c r="M18" s="767"/>
      <c r="N18" s="768"/>
      <c r="O18" s="512"/>
      <c r="P18" s="512"/>
      <c r="Q18" s="512"/>
      <c r="R18" s="512"/>
      <c r="S18" s="512"/>
      <c r="T18" s="512"/>
      <c r="U18" s="512"/>
      <c r="V18" s="512"/>
      <c r="W18" s="512"/>
      <c r="X18" s="512"/>
      <c r="Y18" s="513"/>
      <c r="Z18" s="513"/>
    </row>
    <row r="19" spans="2:24" ht="3.75" customHeight="1">
      <c r="B19" s="706"/>
      <c r="C19" s="707"/>
      <c r="D19" s="707"/>
      <c r="E19" s="707"/>
      <c r="F19" s="707"/>
      <c r="G19" s="707"/>
      <c r="H19" s="707"/>
      <c r="I19" s="707"/>
      <c r="J19" s="707"/>
      <c r="K19" s="707"/>
      <c r="L19" s="707"/>
      <c r="M19" s="707"/>
      <c r="N19" s="708"/>
      <c r="O19" s="61"/>
      <c r="P19" s="61"/>
      <c r="Q19" s="61"/>
      <c r="R19" s="61"/>
      <c r="S19" s="61"/>
      <c r="T19" s="61"/>
      <c r="U19" s="61"/>
      <c r="V19" s="61"/>
      <c r="W19" s="61"/>
      <c r="X19" s="61"/>
    </row>
    <row r="20" spans="2:24" ht="12.75" customHeight="1">
      <c r="B20" s="155">
        <v>1</v>
      </c>
      <c r="C20" s="709" t="s">
        <v>295</v>
      </c>
      <c r="D20" s="710"/>
      <c r="E20" s="158"/>
      <c r="F20" s="158"/>
      <c r="G20" s="158"/>
      <c r="H20" s="158"/>
      <c r="I20" s="159" t="s">
        <v>222</v>
      </c>
      <c r="J20" s="160">
        <f>'Annexure -II'!M7</f>
        <v>426068</v>
      </c>
      <c r="K20" s="161"/>
      <c r="L20" s="162"/>
      <c r="M20" s="161"/>
      <c r="N20" s="163"/>
      <c r="O20" s="514"/>
      <c r="P20" s="514"/>
      <c r="Q20" s="514"/>
      <c r="R20" s="514"/>
      <c r="S20" s="514"/>
      <c r="T20" s="514"/>
      <c r="U20" s="514"/>
      <c r="V20" s="514"/>
      <c r="W20" s="514"/>
      <c r="X20" s="514"/>
    </row>
    <row r="21" spans="2:24" ht="15" customHeight="1">
      <c r="B21" s="155"/>
      <c r="C21" s="164" t="s">
        <v>224</v>
      </c>
      <c r="D21" s="711" t="s">
        <v>296</v>
      </c>
      <c r="E21" s="711"/>
      <c r="F21" s="711"/>
      <c r="G21" s="711"/>
      <c r="H21" s="711"/>
      <c r="I21" s="166" t="s">
        <v>222</v>
      </c>
      <c r="J21" s="167">
        <v>0</v>
      </c>
      <c r="K21" s="161"/>
      <c r="L21" s="162"/>
      <c r="M21" s="161"/>
      <c r="N21" s="163"/>
      <c r="O21" s="514"/>
      <c r="P21" s="514"/>
      <c r="Q21" s="514"/>
      <c r="R21" s="514"/>
      <c r="S21" s="514"/>
      <c r="T21" s="514"/>
      <c r="U21" s="514"/>
      <c r="V21" s="514"/>
      <c r="W21" s="514"/>
      <c r="X21" s="514"/>
    </row>
    <row r="22" spans="2:24" ht="15" customHeight="1">
      <c r="B22" s="155"/>
      <c r="C22" s="164" t="s">
        <v>226</v>
      </c>
      <c r="D22" s="711" t="s">
        <v>297</v>
      </c>
      <c r="E22" s="711"/>
      <c r="F22" s="711"/>
      <c r="G22" s="711"/>
      <c r="H22" s="711"/>
      <c r="I22" s="166" t="s">
        <v>222</v>
      </c>
      <c r="J22" s="167">
        <v>0</v>
      </c>
      <c r="K22" s="161"/>
      <c r="L22" s="162"/>
      <c r="M22" s="161"/>
      <c r="N22" s="163"/>
      <c r="O22" s="514"/>
      <c r="P22" s="514"/>
      <c r="Q22" s="514"/>
      <c r="R22" s="514"/>
      <c r="S22" s="514"/>
      <c r="T22" s="514"/>
      <c r="U22" s="514"/>
      <c r="V22" s="514"/>
      <c r="W22" s="514"/>
      <c r="X22" s="514"/>
    </row>
    <row r="23" spans="2:24" ht="15" customHeight="1">
      <c r="B23" s="155"/>
      <c r="C23" s="164"/>
      <c r="D23" s="711" t="s">
        <v>298</v>
      </c>
      <c r="E23" s="711"/>
      <c r="F23" s="711"/>
      <c r="G23" s="711"/>
      <c r="H23" s="711"/>
      <c r="I23" s="168"/>
      <c r="J23" s="169"/>
      <c r="K23" s="161"/>
      <c r="L23" s="162"/>
      <c r="M23" s="161"/>
      <c r="N23" s="163"/>
      <c r="O23" s="514"/>
      <c r="P23" s="514"/>
      <c r="Q23" s="514"/>
      <c r="R23" s="514"/>
      <c r="S23" s="514"/>
      <c r="T23" s="514"/>
      <c r="U23" s="514"/>
      <c r="V23" s="514"/>
      <c r="W23" s="514"/>
      <c r="X23" s="514"/>
    </row>
    <row r="24" spans="2:30" ht="15" customHeight="1">
      <c r="B24" s="155"/>
      <c r="C24" s="164" t="s">
        <v>227</v>
      </c>
      <c r="D24" s="711" t="s">
        <v>299</v>
      </c>
      <c r="E24" s="711"/>
      <c r="F24" s="711"/>
      <c r="G24" s="711"/>
      <c r="H24" s="711"/>
      <c r="I24" s="159" t="s">
        <v>222</v>
      </c>
      <c r="J24" s="160">
        <v>0</v>
      </c>
      <c r="K24" s="161"/>
      <c r="L24" s="162"/>
      <c r="M24" s="161"/>
      <c r="N24" s="163"/>
      <c r="O24" s="514"/>
      <c r="P24" s="514"/>
      <c r="Q24" s="514"/>
      <c r="R24" s="514"/>
      <c r="S24" s="514"/>
      <c r="T24" s="514"/>
      <c r="U24" s="514"/>
      <c r="V24" s="514"/>
      <c r="W24" s="514"/>
      <c r="X24" s="514"/>
      <c r="AC24" s="86" t="s">
        <v>343</v>
      </c>
      <c r="AD24" s="70">
        <v>100000</v>
      </c>
    </row>
    <row r="25" spans="2:30" ht="15" customHeight="1">
      <c r="B25" s="155"/>
      <c r="C25" s="164"/>
      <c r="D25" s="711" t="s">
        <v>300</v>
      </c>
      <c r="E25" s="711"/>
      <c r="F25" s="711"/>
      <c r="G25" s="711"/>
      <c r="H25" s="711"/>
      <c r="I25" s="170"/>
      <c r="J25" s="171"/>
      <c r="K25" s="161"/>
      <c r="L25" s="162"/>
      <c r="M25" s="161"/>
      <c r="N25" s="163"/>
      <c r="O25" s="514"/>
      <c r="P25" s="514"/>
      <c r="Q25" s="514"/>
      <c r="R25" s="514"/>
      <c r="S25" s="514"/>
      <c r="T25" s="514"/>
      <c r="U25" s="514"/>
      <c r="V25" s="514"/>
      <c r="W25" s="514"/>
      <c r="X25" s="514"/>
      <c r="AC25" s="86" t="s">
        <v>198</v>
      </c>
      <c r="AD25" s="70">
        <v>100000</v>
      </c>
    </row>
    <row r="26" spans="2:30" ht="15" customHeight="1">
      <c r="B26" s="155"/>
      <c r="C26" s="164" t="s">
        <v>239</v>
      </c>
      <c r="D26" s="172" t="s">
        <v>173</v>
      </c>
      <c r="E26" s="158"/>
      <c r="F26" s="158"/>
      <c r="G26" s="158"/>
      <c r="H26" s="158"/>
      <c r="I26" s="173" t="s">
        <v>222</v>
      </c>
      <c r="J26" s="174">
        <f>J20+J21+J22+J24</f>
        <v>426068</v>
      </c>
      <c r="K26" s="161"/>
      <c r="L26" s="162"/>
      <c r="M26" s="161" t="s">
        <v>222</v>
      </c>
      <c r="N26" s="175">
        <f>J26</f>
        <v>426068</v>
      </c>
      <c r="O26" s="515"/>
      <c r="P26" s="515"/>
      <c r="Q26" s="515"/>
      <c r="R26" s="515"/>
      <c r="S26" s="515"/>
      <c r="T26" s="515"/>
      <c r="U26" s="515"/>
      <c r="V26" s="515"/>
      <c r="W26" s="515"/>
      <c r="X26" s="515"/>
      <c r="AC26" s="86" t="s">
        <v>344</v>
      </c>
      <c r="AD26" s="70">
        <v>100000</v>
      </c>
    </row>
    <row r="27" spans="2:30" ht="15" customHeight="1">
      <c r="B27" s="155">
        <v>2</v>
      </c>
      <c r="C27" s="732" t="s">
        <v>301</v>
      </c>
      <c r="D27" s="711"/>
      <c r="E27" s="711"/>
      <c r="F27" s="711"/>
      <c r="G27" s="711"/>
      <c r="H27" s="711"/>
      <c r="I27" s="173"/>
      <c r="J27" s="176"/>
      <c r="K27" s="177"/>
      <c r="L27" s="162"/>
      <c r="M27" s="161"/>
      <c r="N27" s="163"/>
      <c r="O27" s="514"/>
      <c r="P27" s="514"/>
      <c r="Q27" s="514"/>
      <c r="R27" s="514"/>
      <c r="S27" s="514"/>
      <c r="T27" s="514"/>
      <c r="U27" s="514"/>
      <c r="V27" s="514"/>
      <c r="W27" s="514"/>
      <c r="X27" s="514"/>
      <c r="AC27" s="87" t="s">
        <v>345</v>
      </c>
      <c r="AD27" s="70">
        <v>100000</v>
      </c>
    </row>
    <row r="28" spans="2:30" ht="15" customHeight="1">
      <c r="B28" s="155"/>
      <c r="C28" s="164" t="s">
        <v>224</v>
      </c>
      <c r="D28" s="165" t="s">
        <v>302</v>
      </c>
      <c r="E28" s="165"/>
      <c r="F28" s="98"/>
      <c r="G28" s="98"/>
      <c r="H28" s="178"/>
      <c r="I28" s="179" t="s">
        <v>222</v>
      </c>
      <c r="J28" s="180">
        <f>'Annexure -II'!M11</f>
        <v>23634</v>
      </c>
      <c r="K28" s="177"/>
      <c r="L28" s="162"/>
      <c r="M28" s="161"/>
      <c r="N28" s="163"/>
      <c r="O28" s="514"/>
      <c r="P28" s="514"/>
      <c r="Q28" s="514"/>
      <c r="R28" s="514"/>
      <c r="S28" s="514"/>
      <c r="T28" s="514"/>
      <c r="U28" s="514"/>
      <c r="V28" s="514"/>
      <c r="W28" s="514"/>
      <c r="X28" s="514"/>
      <c r="AC28" s="86" t="s">
        <v>201</v>
      </c>
      <c r="AD28" s="70">
        <v>100000</v>
      </c>
    </row>
    <row r="29" spans="2:30" ht="15" customHeight="1">
      <c r="B29" s="155"/>
      <c r="C29" s="164" t="s">
        <v>226</v>
      </c>
      <c r="D29" s="711" t="s">
        <v>303</v>
      </c>
      <c r="E29" s="711"/>
      <c r="F29" s="165"/>
      <c r="G29" s="98"/>
      <c r="H29" s="178"/>
      <c r="I29" s="179" t="s">
        <v>222</v>
      </c>
      <c r="J29" s="180">
        <f>'Annexure -II'!L14</f>
        <v>0</v>
      </c>
      <c r="K29" s="177"/>
      <c r="L29" s="162"/>
      <c r="M29" s="181" t="s">
        <v>222</v>
      </c>
      <c r="N29" s="182">
        <f>J28+J29</f>
        <v>23634</v>
      </c>
      <c r="O29" s="514"/>
      <c r="P29" s="514"/>
      <c r="Q29" s="514"/>
      <c r="R29" s="514"/>
      <c r="S29" s="514"/>
      <c r="T29" s="514"/>
      <c r="U29" s="514"/>
      <c r="V29" s="514"/>
      <c r="W29" s="514"/>
      <c r="X29" s="514"/>
      <c r="AC29" s="86" t="s">
        <v>202</v>
      </c>
      <c r="AD29" s="70">
        <v>100000</v>
      </c>
    </row>
    <row r="30" spans="2:30" ht="15" customHeight="1">
      <c r="B30" s="155">
        <v>3</v>
      </c>
      <c r="C30" s="709" t="s">
        <v>304</v>
      </c>
      <c r="D30" s="710"/>
      <c r="E30" s="710"/>
      <c r="F30" s="710"/>
      <c r="G30" s="710"/>
      <c r="H30" s="740"/>
      <c r="I30" s="158"/>
      <c r="J30" s="176"/>
      <c r="K30" s="177"/>
      <c r="L30" s="162"/>
      <c r="M30" s="161" t="s">
        <v>222</v>
      </c>
      <c r="N30" s="175">
        <f>N26-N29</f>
        <v>402434</v>
      </c>
      <c r="O30" s="515"/>
      <c r="P30" s="515"/>
      <c r="Q30" s="515"/>
      <c r="R30" s="515"/>
      <c r="S30" s="515"/>
      <c r="T30" s="515"/>
      <c r="U30" s="515"/>
      <c r="V30" s="515"/>
      <c r="W30" s="515"/>
      <c r="X30" s="515"/>
      <c r="AC30" s="86" t="s">
        <v>203</v>
      </c>
      <c r="AD30" s="70">
        <v>100000</v>
      </c>
    </row>
    <row r="31" spans="2:30" ht="15" customHeight="1">
      <c r="B31" s="155">
        <v>4</v>
      </c>
      <c r="C31" s="709" t="s">
        <v>238</v>
      </c>
      <c r="D31" s="710"/>
      <c r="E31" s="710"/>
      <c r="F31" s="710"/>
      <c r="G31" s="710"/>
      <c r="H31" s="740"/>
      <c r="I31" s="158"/>
      <c r="J31" s="176"/>
      <c r="K31" s="177"/>
      <c r="L31" s="162"/>
      <c r="M31" s="161"/>
      <c r="N31" s="163"/>
      <c r="O31" s="514"/>
      <c r="P31" s="514"/>
      <c r="Q31" s="514"/>
      <c r="R31" s="514"/>
      <c r="S31" s="514"/>
      <c r="T31" s="514"/>
      <c r="U31" s="514"/>
      <c r="V31" s="514"/>
      <c r="W31" s="514"/>
      <c r="X31" s="514"/>
      <c r="AC31" s="86" t="s">
        <v>204</v>
      </c>
      <c r="AD31" s="70">
        <v>100000</v>
      </c>
    </row>
    <row r="32" spans="2:30" ht="12.75" customHeight="1">
      <c r="B32" s="155"/>
      <c r="C32" s="164" t="s">
        <v>224</v>
      </c>
      <c r="D32" s="165" t="s">
        <v>305</v>
      </c>
      <c r="E32" s="165"/>
      <c r="F32" s="98"/>
      <c r="G32" s="98"/>
      <c r="H32" s="183"/>
      <c r="I32" s="179" t="s">
        <v>222</v>
      </c>
      <c r="J32" s="180">
        <v>0</v>
      </c>
      <c r="K32" s="177"/>
      <c r="L32" s="162"/>
      <c r="M32" s="161"/>
      <c r="N32" s="163"/>
      <c r="O32" s="514"/>
      <c r="P32" s="514"/>
      <c r="Q32" s="514"/>
      <c r="R32" s="514"/>
      <c r="S32" s="514"/>
      <c r="T32" s="514"/>
      <c r="U32" s="514"/>
      <c r="V32" s="514"/>
      <c r="W32" s="514"/>
      <c r="X32" s="514"/>
      <c r="AC32" s="86" t="s">
        <v>205</v>
      </c>
      <c r="AD32" s="70">
        <v>100000</v>
      </c>
    </row>
    <row r="33" spans="2:30" ht="12.75" customHeight="1">
      <c r="B33" s="155"/>
      <c r="C33" s="164" t="s">
        <v>226</v>
      </c>
      <c r="D33" s="165" t="s">
        <v>306</v>
      </c>
      <c r="E33" s="165"/>
      <c r="F33" s="158"/>
      <c r="G33" s="98"/>
      <c r="H33" s="183"/>
      <c r="I33" s="179" t="s">
        <v>222</v>
      </c>
      <c r="J33" s="180">
        <f>'Annexure -II'!L15</f>
        <v>2400</v>
      </c>
      <c r="K33" s="177"/>
      <c r="L33" s="162"/>
      <c r="M33" s="161"/>
      <c r="N33" s="163"/>
      <c r="O33" s="514"/>
      <c r="P33" s="514"/>
      <c r="Q33" s="514"/>
      <c r="R33" s="514"/>
      <c r="S33" s="514"/>
      <c r="T33" s="514"/>
      <c r="U33" s="514"/>
      <c r="V33" s="514"/>
      <c r="W33" s="514"/>
      <c r="X33" s="514"/>
      <c r="AC33" s="86" t="s">
        <v>346</v>
      </c>
      <c r="AD33" s="70">
        <v>100000</v>
      </c>
    </row>
    <row r="34" spans="2:30" ht="15" customHeight="1">
      <c r="B34" s="155">
        <v>5</v>
      </c>
      <c r="C34" s="709" t="s">
        <v>307</v>
      </c>
      <c r="D34" s="710"/>
      <c r="E34" s="710"/>
      <c r="F34" s="710"/>
      <c r="G34" s="710"/>
      <c r="H34" s="710"/>
      <c r="I34" s="173"/>
      <c r="J34" s="174"/>
      <c r="K34" s="161"/>
      <c r="L34" s="162"/>
      <c r="M34" s="181" t="s">
        <v>222</v>
      </c>
      <c r="N34" s="182">
        <f>J32+J33</f>
        <v>2400</v>
      </c>
      <c r="O34" s="514"/>
      <c r="P34" s="514"/>
      <c r="Q34" s="514"/>
      <c r="R34" s="514"/>
      <c r="S34" s="514"/>
      <c r="T34" s="514"/>
      <c r="U34" s="514"/>
      <c r="V34" s="514"/>
      <c r="W34" s="514"/>
      <c r="X34" s="514"/>
      <c r="AC34" s="86" t="s">
        <v>206</v>
      </c>
      <c r="AD34" s="70">
        <v>100000</v>
      </c>
    </row>
    <row r="35" spans="2:30" ht="15" customHeight="1">
      <c r="B35" s="155">
        <v>6</v>
      </c>
      <c r="C35" s="732" t="s">
        <v>308</v>
      </c>
      <c r="D35" s="711"/>
      <c r="E35" s="711"/>
      <c r="F35" s="711"/>
      <c r="G35" s="711"/>
      <c r="H35" s="711"/>
      <c r="I35" s="173"/>
      <c r="J35" s="174"/>
      <c r="K35" s="161"/>
      <c r="L35" s="162"/>
      <c r="M35" s="184" t="s">
        <v>222</v>
      </c>
      <c r="N35" s="185">
        <f>N30-N34</f>
        <v>400034</v>
      </c>
      <c r="O35" s="515"/>
      <c r="P35" s="515"/>
      <c r="Q35" s="515"/>
      <c r="R35" s="515"/>
      <c r="S35" s="515"/>
      <c r="T35" s="515"/>
      <c r="U35" s="515"/>
      <c r="V35" s="515"/>
      <c r="W35" s="515"/>
      <c r="X35" s="515"/>
      <c r="AC35" s="86" t="s">
        <v>209</v>
      </c>
      <c r="AD35" s="70">
        <v>10000</v>
      </c>
    </row>
    <row r="36" spans="2:24" ht="12.75" customHeight="1">
      <c r="B36" s="155">
        <v>7</v>
      </c>
      <c r="C36" s="732" t="s">
        <v>309</v>
      </c>
      <c r="D36" s="711"/>
      <c r="E36" s="711"/>
      <c r="F36" s="711"/>
      <c r="G36" s="711"/>
      <c r="H36" s="711"/>
      <c r="I36" s="173"/>
      <c r="J36" s="174"/>
      <c r="K36" s="161"/>
      <c r="L36" s="162"/>
      <c r="M36" s="186" t="s">
        <v>222</v>
      </c>
      <c r="N36" s="187">
        <v>0</v>
      </c>
      <c r="O36" s="514"/>
      <c r="P36" s="514"/>
      <c r="Q36" s="514"/>
      <c r="R36" s="514"/>
      <c r="S36" s="514"/>
      <c r="T36" s="514"/>
      <c r="U36" s="514"/>
      <c r="V36" s="514"/>
      <c r="W36" s="514"/>
      <c r="X36" s="514"/>
    </row>
    <row r="37" spans="2:24" ht="12.75" customHeight="1">
      <c r="B37" s="155"/>
      <c r="C37" s="732" t="s">
        <v>310</v>
      </c>
      <c r="D37" s="711"/>
      <c r="E37" s="711"/>
      <c r="F37" s="711"/>
      <c r="G37" s="711"/>
      <c r="H37" s="711"/>
      <c r="I37" s="173"/>
      <c r="J37" s="174"/>
      <c r="K37" s="161"/>
      <c r="L37" s="162"/>
      <c r="M37" s="186" t="s">
        <v>222</v>
      </c>
      <c r="N37" s="187">
        <v>0</v>
      </c>
      <c r="O37" s="514"/>
      <c r="P37" s="514"/>
      <c r="Q37" s="514"/>
      <c r="R37" s="514"/>
      <c r="S37" s="514"/>
      <c r="T37" s="514"/>
      <c r="U37" s="514"/>
      <c r="V37" s="514"/>
      <c r="W37" s="514"/>
      <c r="X37" s="514"/>
    </row>
    <row r="38" spans="2:24" ht="12.75" customHeight="1">
      <c r="B38" s="155"/>
      <c r="C38" s="732" t="s">
        <v>311</v>
      </c>
      <c r="D38" s="711"/>
      <c r="E38" s="711"/>
      <c r="F38" s="711"/>
      <c r="G38" s="711"/>
      <c r="H38" s="711"/>
      <c r="I38" s="173"/>
      <c r="J38" s="174"/>
      <c r="K38" s="161"/>
      <c r="L38" s="162"/>
      <c r="M38" s="188" t="s">
        <v>222</v>
      </c>
      <c r="N38" s="189">
        <v>0</v>
      </c>
      <c r="O38" s="514"/>
      <c r="P38" s="514"/>
      <c r="Q38" s="514"/>
      <c r="R38" s="514"/>
      <c r="S38" s="514"/>
      <c r="T38" s="514"/>
      <c r="U38" s="514"/>
      <c r="V38" s="514"/>
      <c r="W38" s="514"/>
      <c r="X38" s="514"/>
    </row>
    <row r="39" spans="2:24" ht="14.25" customHeight="1">
      <c r="B39" s="155">
        <v>8</v>
      </c>
      <c r="C39" s="709" t="s">
        <v>312</v>
      </c>
      <c r="D39" s="710"/>
      <c r="E39" s="710"/>
      <c r="F39" s="190"/>
      <c r="G39" s="190"/>
      <c r="H39" s="158"/>
      <c r="I39" s="173"/>
      <c r="J39" s="174"/>
      <c r="K39" s="161"/>
      <c r="L39" s="162"/>
      <c r="M39" s="161" t="s">
        <v>222</v>
      </c>
      <c r="N39" s="175">
        <f>N35+N36+N37-N38</f>
        <v>400034</v>
      </c>
      <c r="O39" s="515"/>
      <c r="P39" s="515"/>
      <c r="Q39" s="515"/>
      <c r="R39" s="515"/>
      <c r="S39" s="515"/>
      <c r="T39" s="515"/>
      <c r="U39" s="515"/>
      <c r="V39" s="515"/>
      <c r="W39" s="515"/>
      <c r="X39" s="515"/>
    </row>
    <row r="40" spans="2:24" ht="13.5" customHeight="1">
      <c r="B40" s="155">
        <v>9</v>
      </c>
      <c r="C40" s="709" t="s">
        <v>313</v>
      </c>
      <c r="D40" s="710"/>
      <c r="E40" s="710"/>
      <c r="F40" s="710"/>
      <c r="G40" s="710"/>
      <c r="H40" s="158"/>
      <c r="I40" s="173"/>
      <c r="J40" s="191"/>
      <c r="K40" s="161"/>
      <c r="L40" s="162"/>
      <c r="M40" s="161"/>
      <c r="N40" s="163"/>
      <c r="O40" s="514"/>
      <c r="P40" s="514"/>
      <c r="Q40" s="514"/>
      <c r="R40" s="514"/>
      <c r="S40" s="514"/>
      <c r="T40" s="514"/>
      <c r="U40" s="514"/>
      <c r="V40" s="514"/>
      <c r="W40" s="514"/>
      <c r="X40" s="514"/>
    </row>
    <row r="41" spans="2:24" ht="13.5" customHeight="1">
      <c r="B41" s="192" t="s">
        <v>314</v>
      </c>
      <c r="C41" s="709" t="s">
        <v>315</v>
      </c>
      <c r="D41" s="710"/>
      <c r="E41" s="710"/>
      <c r="F41" s="157"/>
      <c r="G41" s="97" t="s">
        <v>316</v>
      </c>
      <c r="H41" s="165"/>
      <c r="I41" s="738" t="s">
        <v>317</v>
      </c>
      <c r="J41" s="739"/>
      <c r="K41" s="738" t="s">
        <v>318</v>
      </c>
      <c r="L41" s="739"/>
      <c r="M41" s="158"/>
      <c r="N41" s="163"/>
      <c r="O41" s="516"/>
      <c r="P41" s="516"/>
      <c r="Q41" s="516"/>
      <c r="R41" s="516"/>
      <c r="S41" s="516"/>
      <c r="T41" s="516"/>
      <c r="U41" s="516"/>
      <c r="V41" s="516"/>
      <c r="W41" s="516"/>
      <c r="X41" s="516"/>
    </row>
    <row r="42" spans="2:24" ht="12.75" customHeight="1">
      <c r="B42" s="155"/>
      <c r="C42" s="156" t="s">
        <v>224</v>
      </c>
      <c r="D42" s="157" t="s">
        <v>319</v>
      </c>
      <c r="E42" s="193"/>
      <c r="F42" s="193"/>
      <c r="G42" s="97" t="s">
        <v>320</v>
      </c>
      <c r="H42" s="165"/>
      <c r="I42" s="164"/>
      <c r="J42" s="178" t="s">
        <v>320</v>
      </c>
      <c r="K42" s="165"/>
      <c r="L42" s="178" t="s">
        <v>320</v>
      </c>
      <c r="M42" s="158"/>
      <c r="N42" s="163"/>
      <c r="O42" s="516"/>
      <c r="P42" s="516"/>
      <c r="Q42" s="516"/>
      <c r="R42" s="516"/>
      <c r="S42" s="516"/>
      <c r="T42" s="516"/>
      <c r="U42" s="516"/>
      <c r="V42" s="516"/>
      <c r="W42" s="516"/>
      <c r="X42" s="516"/>
    </row>
    <row r="43" spans="2:26" ht="13.5" customHeight="1">
      <c r="B43" s="155"/>
      <c r="C43" s="194" t="s">
        <v>321</v>
      </c>
      <c r="D43" s="161" t="s">
        <v>322</v>
      </c>
      <c r="E43" s="161"/>
      <c r="F43" s="195" t="s">
        <v>222</v>
      </c>
      <c r="G43" s="180">
        <f>IF(DATA!AA27=3,0,'Annexure -I'!N24)</f>
        <v>26486</v>
      </c>
      <c r="H43" s="195"/>
      <c r="I43" s="186" t="s">
        <v>222</v>
      </c>
      <c r="J43" s="167">
        <f>IF(G43&lt;=Z43,G43,IF(G43&gt;=Z43,Z43))</f>
        <v>26486</v>
      </c>
      <c r="K43" s="195" t="s">
        <v>222</v>
      </c>
      <c r="L43" s="167">
        <f aca="true" t="shared" si="0" ref="L43:L53">J43</f>
        <v>26486</v>
      </c>
      <c r="M43" s="161"/>
      <c r="N43" s="163"/>
      <c r="O43" s="514"/>
      <c r="P43" s="514"/>
      <c r="Q43" s="514"/>
      <c r="R43" s="514"/>
      <c r="S43" s="514"/>
      <c r="T43" s="514"/>
      <c r="U43" s="514"/>
      <c r="V43" s="514"/>
      <c r="W43" s="514"/>
      <c r="X43" s="514"/>
      <c r="Z43" s="517">
        <v>150000</v>
      </c>
    </row>
    <row r="44" spans="2:26" ht="13.5" customHeight="1">
      <c r="B44" s="155"/>
      <c r="C44" s="194" t="s">
        <v>323</v>
      </c>
      <c r="D44" s="161" t="s">
        <v>324</v>
      </c>
      <c r="E44" s="161"/>
      <c r="F44" s="195" t="s">
        <v>222</v>
      </c>
      <c r="G44" s="180">
        <f>'Annexure -II'!L34</f>
        <v>5400</v>
      </c>
      <c r="H44" s="195"/>
      <c r="I44" s="186" t="s">
        <v>222</v>
      </c>
      <c r="J44" s="167">
        <f aca="true" t="shared" si="1" ref="J44:J52">IF(G44&lt;=Z44,G44,IF(G44&gt;=Z44,Z44))</f>
        <v>5400</v>
      </c>
      <c r="K44" s="195" t="s">
        <v>222</v>
      </c>
      <c r="L44" s="167">
        <f t="shared" si="0"/>
        <v>5400</v>
      </c>
      <c r="M44" s="161"/>
      <c r="N44" s="163"/>
      <c r="O44" s="514"/>
      <c r="P44" s="514"/>
      <c r="Q44" s="514"/>
      <c r="R44" s="514"/>
      <c r="S44" s="514"/>
      <c r="T44" s="514"/>
      <c r="U44" s="514"/>
      <c r="V44" s="514"/>
      <c r="W44" s="514"/>
      <c r="X44" s="514"/>
      <c r="Z44" s="517">
        <v>100000</v>
      </c>
    </row>
    <row r="45" spans="2:26" ht="13.5" customHeight="1">
      <c r="B45" s="155"/>
      <c r="C45" s="194" t="s">
        <v>325</v>
      </c>
      <c r="D45" s="161" t="s">
        <v>326</v>
      </c>
      <c r="E45" s="161"/>
      <c r="F45" s="195" t="s">
        <v>222</v>
      </c>
      <c r="G45" s="180">
        <f>'Annexure -II'!L35</f>
        <v>720</v>
      </c>
      <c r="H45" s="195"/>
      <c r="I45" s="186" t="s">
        <v>222</v>
      </c>
      <c r="J45" s="167">
        <f t="shared" si="1"/>
        <v>720</v>
      </c>
      <c r="K45" s="195" t="s">
        <v>222</v>
      </c>
      <c r="L45" s="167">
        <f t="shared" si="0"/>
        <v>720</v>
      </c>
      <c r="M45" s="161"/>
      <c r="N45" s="163"/>
      <c r="O45" s="514"/>
      <c r="P45" s="514"/>
      <c r="Q45" s="514"/>
      <c r="R45" s="514"/>
      <c r="S45" s="514"/>
      <c r="T45" s="514"/>
      <c r="U45" s="514"/>
      <c r="V45" s="514"/>
      <c r="W45" s="514"/>
      <c r="X45" s="514"/>
      <c r="Z45" s="517">
        <v>100000</v>
      </c>
    </row>
    <row r="46" spans="2:26" ht="13.5" customHeight="1">
      <c r="B46" s="155"/>
      <c r="C46" s="194" t="s">
        <v>327</v>
      </c>
      <c r="D46" s="737" t="s">
        <v>328</v>
      </c>
      <c r="E46" s="737"/>
      <c r="F46" s="195" t="s">
        <v>222</v>
      </c>
      <c r="G46" s="180">
        <f>'Annexure -II'!L36</f>
        <v>0</v>
      </c>
      <c r="H46" s="195"/>
      <c r="I46" s="186" t="s">
        <v>222</v>
      </c>
      <c r="J46" s="167">
        <f t="shared" si="1"/>
        <v>0</v>
      </c>
      <c r="K46" s="195" t="s">
        <v>222</v>
      </c>
      <c r="L46" s="167">
        <f t="shared" si="0"/>
        <v>0</v>
      </c>
      <c r="M46" s="161"/>
      <c r="N46" s="163"/>
      <c r="O46" s="514"/>
      <c r="P46" s="514"/>
      <c r="Q46" s="514"/>
      <c r="R46" s="514"/>
      <c r="S46" s="514"/>
      <c r="T46" s="514"/>
      <c r="U46" s="514"/>
      <c r="V46" s="514"/>
      <c r="W46" s="514"/>
      <c r="X46" s="514"/>
      <c r="Z46" s="517">
        <v>100000</v>
      </c>
    </row>
    <row r="47" spans="2:26" ht="13.5" customHeight="1">
      <c r="B47" s="155"/>
      <c r="C47" s="194" t="s">
        <v>329</v>
      </c>
      <c r="D47" s="737" t="str">
        <f>'Annexure -II'!D37:I37</f>
        <v>Children Tution Fee </v>
      </c>
      <c r="E47" s="737"/>
      <c r="F47" s="195" t="s">
        <v>222</v>
      </c>
      <c r="G47" s="180">
        <f>'Annexure -II'!L37</f>
        <v>0</v>
      </c>
      <c r="H47" s="195"/>
      <c r="I47" s="186" t="s">
        <v>222</v>
      </c>
      <c r="J47" s="167">
        <f t="shared" si="1"/>
        <v>0</v>
      </c>
      <c r="K47" s="195" t="s">
        <v>222</v>
      </c>
      <c r="L47" s="167">
        <f t="shared" si="0"/>
        <v>0</v>
      </c>
      <c r="M47" s="161"/>
      <c r="N47" s="163"/>
      <c r="O47" s="514"/>
      <c r="P47" s="514"/>
      <c r="Q47" s="514"/>
      <c r="R47" s="514"/>
      <c r="S47" s="514"/>
      <c r="T47" s="514"/>
      <c r="U47" s="514"/>
      <c r="V47" s="514"/>
      <c r="W47" s="514"/>
      <c r="X47" s="514"/>
      <c r="Z47" s="517">
        <v>100000</v>
      </c>
    </row>
    <row r="48" spans="2:26" ht="13.5" customHeight="1">
      <c r="B48" s="155"/>
      <c r="C48" s="194" t="s">
        <v>330</v>
      </c>
      <c r="D48" s="161" t="str">
        <f>'Annexure -II'!D38:I38</f>
        <v>Repayement of Home Loan Premium</v>
      </c>
      <c r="E48" s="161"/>
      <c r="F48" s="195" t="s">
        <v>222</v>
      </c>
      <c r="G48" s="180">
        <f>'Annexure -II'!L38</f>
        <v>0</v>
      </c>
      <c r="H48" s="195"/>
      <c r="I48" s="186" t="s">
        <v>222</v>
      </c>
      <c r="J48" s="167">
        <f t="shared" si="1"/>
        <v>0</v>
      </c>
      <c r="K48" s="195" t="s">
        <v>222</v>
      </c>
      <c r="L48" s="167">
        <f t="shared" si="0"/>
        <v>0</v>
      </c>
      <c r="M48" s="161"/>
      <c r="N48" s="163"/>
      <c r="O48" s="514"/>
      <c r="P48" s="514"/>
      <c r="Q48" s="514"/>
      <c r="R48" s="514"/>
      <c r="S48" s="514"/>
      <c r="T48" s="514"/>
      <c r="U48" s="514"/>
      <c r="V48" s="514"/>
      <c r="W48" s="514"/>
      <c r="X48" s="514"/>
      <c r="Z48" s="517">
        <v>100000</v>
      </c>
    </row>
    <row r="49" spans="2:26" ht="13.5" customHeight="1">
      <c r="B49" s="155"/>
      <c r="C49" s="194" t="s">
        <v>331</v>
      </c>
      <c r="D49" s="161" t="str">
        <f>'Annexure -II'!D39:I39</f>
        <v>LIC Annual Premiums Paid by Hand</v>
      </c>
      <c r="E49" s="161"/>
      <c r="F49" s="195" t="s">
        <v>222</v>
      </c>
      <c r="G49" s="180">
        <f>'Annexure -II'!L39</f>
        <v>0</v>
      </c>
      <c r="H49" s="195"/>
      <c r="I49" s="186" t="s">
        <v>222</v>
      </c>
      <c r="J49" s="167">
        <f t="shared" si="1"/>
        <v>0</v>
      </c>
      <c r="K49" s="195" t="s">
        <v>222</v>
      </c>
      <c r="L49" s="167">
        <f t="shared" si="0"/>
        <v>0</v>
      </c>
      <c r="M49" s="161"/>
      <c r="N49" s="163"/>
      <c r="O49" s="514"/>
      <c r="P49" s="514"/>
      <c r="Q49" s="514"/>
      <c r="R49" s="514"/>
      <c r="S49" s="514"/>
      <c r="T49" s="514"/>
      <c r="U49" s="514"/>
      <c r="V49" s="514"/>
      <c r="W49" s="514"/>
      <c r="X49" s="514"/>
      <c r="Z49" s="517">
        <v>100000</v>
      </c>
    </row>
    <row r="50" spans="2:26" ht="13.5" customHeight="1">
      <c r="B50" s="155"/>
      <c r="C50" s="194" t="s">
        <v>332</v>
      </c>
      <c r="D50" s="161" t="str">
        <f>'Annexure -II'!D40:I40</f>
        <v>PLI Annual Premuim</v>
      </c>
      <c r="E50" s="161"/>
      <c r="F50" s="195" t="s">
        <v>222</v>
      </c>
      <c r="G50" s="180">
        <f>'Annexure -II'!L40</f>
        <v>0</v>
      </c>
      <c r="H50" s="195"/>
      <c r="I50" s="186" t="s">
        <v>222</v>
      </c>
      <c r="J50" s="167">
        <f t="shared" si="1"/>
        <v>0</v>
      </c>
      <c r="K50" s="195" t="s">
        <v>222</v>
      </c>
      <c r="L50" s="167">
        <f t="shared" si="0"/>
        <v>0</v>
      </c>
      <c r="M50" s="177"/>
      <c r="N50" s="163"/>
      <c r="O50" s="514"/>
      <c r="P50" s="514"/>
      <c r="Q50" s="514"/>
      <c r="R50" s="514"/>
      <c r="S50" s="514"/>
      <c r="T50" s="514"/>
      <c r="U50" s="514"/>
      <c r="V50" s="514"/>
      <c r="W50" s="514"/>
      <c r="X50" s="514"/>
      <c r="Z50" s="517">
        <v>100000</v>
      </c>
    </row>
    <row r="51" spans="2:26" ht="13.5" customHeight="1">
      <c r="B51" s="155"/>
      <c r="C51" s="194" t="s">
        <v>333</v>
      </c>
      <c r="D51" s="161" t="str">
        <f>'Annexure -II'!D41:I41</f>
        <v>5 Years Fixed Deposits </v>
      </c>
      <c r="E51" s="161"/>
      <c r="F51" s="196" t="s">
        <v>222</v>
      </c>
      <c r="G51" s="180">
        <f>'Annexure -II'!L41</f>
        <v>0</v>
      </c>
      <c r="H51" s="197"/>
      <c r="I51" s="198" t="s">
        <v>222</v>
      </c>
      <c r="J51" s="169">
        <f t="shared" si="1"/>
        <v>0</v>
      </c>
      <c r="K51" s="196" t="s">
        <v>222</v>
      </c>
      <c r="L51" s="169">
        <f t="shared" si="0"/>
        <v>0</v>
      </c>
      <c r="M51" s="177"/>
      <c r="N51" s="163"/>
      <c r="O51" s="514"/>
      <c r="P51" s="514"/>
      <c r="Q51" s="514"/>
      <c r="R51" s="514"/>
      <c r="S51" s="514"/>
      <c r="T51" s="514"/>
      <c r="U51" s="514"/>
      <c r="V51" s="514"/>
      <c r="W51" s="514"/>
      <c r="X51" s="514"/>
      <c r="Z51" s="517">
        <v>100000</v>
      </c>
    </row>
    <row r="52" spans="2:26" ht="13.5" customHeight="1">
      <c r="B52" s="155"/>
      <c r="C52" s="194" t="s">
        <v>334</v>
      </c>
      <c r="D52" s="161" t="str">
        <f>'Annexure -II'!D42:I42</f>
        <v>Unit Linked Insurance Plan</v>
      </c>
      <c r="E52" s="161"/>
      <c r="F52" s="161" t="s">
        <v>222</v>
      </c>
      <c r="G52" s="180">
        <f>'Annexure -II'!L42</f>
        <v>0</v>
      </c>
      <c r="H52" s="199"/>
      <c r="I52" s="177" t="s">
        <v>222</v>
      </c>
      <c r="J52" s="176">
        <f t="shared" si="1"/>
        <v>0</v>
      </c>
      <c r="K52" s="177" t="s">
        <v>222</v>
      </c>
      <c r="L52" s="176">
        <f t="shared" si="0"/>
        <v>0</v>
      </c>
      <c r="M52" s="177"/>
      <c r="N52" s="163"/>
      <c r="O52" s="514"/>
      <c r="P52" s="514"/>
      <c r="Q52" s="514"/>
      <c r="R52" s="514"/>
      <c r="S52" s="514"/>
      <c r="T52" s="514"/>
      <c r="U52" s="514"/>
      <c r="V52" s="514"/>
      <c r="W52" s="514"/>
      <c r="X52" s="514"/>
      <c r="Y52" s="64">
        <f>G43+G44+G45+G46+G47+G48+G49+G50+G51+G52+G53</f>
        <v>32606</v>
      </c>
      <c r="Z52" s="517">
        <v>20000</v>
      </c>
    </row>
    <row r="53" spans="2:26" ht="13.5" customHeight="1">
      <c r="B53" s="155"/>
      <c r="C53" s="194" t="s">
        <v>350</v>
      </c>
      <c r="D53" s="161" t="str">
        <f>CONCATENATE('Annexure -II'!D43,'Annexure -II'!F43,'Annexure -II'!I43)</f>
        <v>Others       (0)</v>
      </c>
      <c r="E53" s="161"/>
      <c r="F53" s="161" t="s">
        <v>222</v>
      </c>
      <c r="G53" s="180">
        <f>'Annexure -II'!L43</f>
        <v>0</v>
      </c>
      <c r="H53" s="161"/>
      <c r="I53" s="177" t="s">
        <v>222</v>
      </c>
      <c r="J53" s="176">
        <f>G53</f>
        <v>0</v>
      </c>
      <c r="K53" s="177" t="s">
        <v>222</v>
      </c>
      <c r="L53" s="176">
        <f t="shared" si="0"/>
        <v>0</v>
      </c>
      <c r="M53" s="161"/>
      <c r="N53" s="163"/>
      <c r="O53" s="514"/>
      <c r="P53" s="514"/>
      <c r="Q53" s="514"/>
      <c r="R53" s="514"/>
      <c r="S53" s="514"/>
      <c r="T53" s="514"/>
      <c r="U53" s="514"/>
      <c r="V53" s="514"/>
      <c r="W53" s="514"/>
      <c r="X53" s="514"/>
      <c r="Y53" s="64"/>
      <c r="Z53" s="517"/>
    </row>
    <row r="54" spans="2:26" ht="12" customHeight="1">
      <c r="B54" s="155"/>
      <c r="C54" s="177"/>
      <c r="D54" s="161"/>
      <c r="E54" s="161"/>
      <c r="F54" s="161"/>
      <c r="G54" s="176"/>
      <c r="H54" s="161"/>
      <c r="I54" s="734" t="s">
        <v>335</v>
      </c>
      <c r="J54" s="735"/>
      <c r="K54" s="735"/>
      <c r="L54" s="736"/>
      <c r="M54" s="200" t="s">
        <v>222</v>
      </c>
      <c r="N54" s="175">
        <f>IF(Z54&lt;=Y54,Z54,IF(Z54&gt;=Y54,Y54))</f>
        <v>32606</v>
      </c>
      <c r="O54" s="515"/>
      <c r="P54" s="515"/>
      <c r="Q54" s="515"/>
      <c r="R54" s="515"/>
      <c r="S54" s="515"/>
      <c r="T54" s="515"/>
      <c r="U54" s="515"/>
      <c r="V54" s="515"/>
      <c r="W54" s="515"/>
      <c r="X54" s="515"/>
      <c r="Y54" s="518">
        <v>150000</v>
      </c>
      <c r="Z54" s="519">
        <f>SUM(L43:L53)</f>
        <v>32606</v>
      </c>
    </row>
    <row r="55" spans="2:24" ht="11.25" customHeight="1">
      <c r="B55" s="155"/>
      <c r="C55" s="201" t="s">
        <v>226</v>
      </c>
      <c r="D55" s="202" t="s">
        <v>336</v>
      </c>
      <c r="E55" s="161"/>
      <c r="F55" s="161"/>
      <c r="G55" s="176"/>
      <c r="H55" s="161"/>
      <c r="I55" s="177"/>
      <c r="J55" s="203"/>
      <c r="K55" s="161"/>
      <c r="L55" s="203"/>
      <c r="M55" s="161"/>
      <c r="N55" s="163"/>
      <c r="O55" s="514"/>
      <c r="P55" s="514"/>
      <c r="Q55" s="514"/>
      <c r="R55" s="514"/>
      <c r="S55" s="514"/>
      <c r="T55" s="514"/>
      <c r="U55" s="514"/>
      <c r="V55" s="514"/>
      <c r="W55" s="514"/>
      <c r="X55" s="514"/>
    </row>
    <row r="56" spans="2:28" ht="13.5" customHeight="1">
      <c r="B56" s="155"/>
      <c r="C56" s="204" t="s">
        <v>321</v>
      </c>
      <c r="D56" s="737"/>
      <c r="E56" s="737"/>
      <c r="F56" s="195" t="s">
        <v>222</v>
      </c>
      <c r="G56" s="180"/>
      <c r="H56" s="195"/>
      <c r="I56" s="186" t="s">
        <v>222</v>
      </c>
      <c r="J56" s="167">
        <f>IF(G56&lt;=Z56,G56,IF(G56&gt;=Z56,Z56))</f>
        <v>0</v>
      </c>
      <c r="K56" s="195" t="s">
        <v>222</v>
      </c>
      <c r="L56" s="167">
        <f>IF(G56&lt;=Z56,G56,IF(G56&gt;=Z56,Z56))</f>
        <v>0</v>
      </c>
      <c r="M56" s="205" t="s">
        <v>222</v>
      </c>
      <c r="N56" s="206">
        <f>L56</f>
        <v>0</v>
      </c>
      <c r="O56" s="515"/>
      <c r="P56" s="515"/>
      <c r="Q56" s="515"/>
      <c r="R56" s="515"/>
      <c r="S56" s="515"/>
      <c r="T56" s="515"/>
      <c r="U56" s="515"/>
      <c r="V56" s="515"/>
      <c r="W56" s="515"/>
      <c r="X56" s="515"/>
      <c r="Z56" s="517">
        <v>10000</v>
      </c>
      <c r="AB56" s="520">
        <f>N54+N56+N58</f>
        <v>32606</v>
      </c>
    </row>
    <row r="57" spans="2:28" ht="14.25" customHeight="1">
      <c r="B57" s="155"/>
      <c r="C57" s="201" t="s">
        <v>227</v>
      </c>
      <c r="D57" s="202" t="s">
        <v>337</v>
      </c>
      <c r="E57" s="161"/>
      <c r="F57" s="161"/>
      <c r="G57" s="176"/>
      <c r="H57" s="161"/>
      <c r="I57" s="177"/>
      <c r="J57" s="174"/>
      <c r="K57" s="161"/>
      <c r="L57" s="174"/>
      <c r="M57" s="161"/>
      <c r="N57" s="163"/>
      <c r="O57" s="514"/>
      <c r="P57" s="514"/>
      <c r="Q57" s="514"/>
      <c r="R57" s="514"/>
      <c r="S57" s="514"/>
      <c r="T57" s="514"/>
      <c r="U57" s="514"/>
      <c r="V57" s="514"/>
      <c r="W57" s="514"/>
      <c r="X57" s="514"/>
      <c r="AB57" s="521"/>
    </row>
    <row r="58" spans="2:28" ht="13.5" customHeight="1">
      <c r="B58" s="155"/>
      <c r="C58" s="204" t="s">
        <v>321</v>
      </c>
      <c r="D58" s="737" t="s">
        <v>338</v>
      </c>
      <c r="E58" s="737"/>
      <c r="F58" s="195" t="s">
        <v>222</v>
      </c>
      <c r="G58" s="180">
        <f>IF(DATA!AA27=3,'Annexure -I'!N24,0)</f>
        <v>0</v>
      </c>
      <c r="H58" s="195"/>
      <c r="I58" s="186" t="s">
        <v>222</v>
      </c>
      <c r="J58" s="167">
        <f>IF(G58&lt;=Z58,G58,IF(G58&gt;=Z58,Z58))</f>
        <v>0</v>
      </c>
      <c r="K58" s="195" t="s">
        <v>222</v>
      </c>
      <c r="L58" s="167">
        <f>IF(G58&lt;Z58,G58,IF(G58&gt;Z58,Z58))</f>
        <v>0</v>
      </c>
      <c r="M58" s="207" t="s">
        <v>222</v>
      </c>
      <c r="N58" s="208">
        <f>L58</f>
        <v>0</v>
      </c>
      <c r="O58" s="515"/>
      <c r="P58" s="515"/>
      <c r="Q58" s="515"/>
      <c r="R58" s="515"/>
      <c r="S58" s="515"/>
      <c r="T58" s="515"/>
      <c r="U58" s="515"/>
      <c r="V58" s="515"/>
      <c r="W58" s="515"/>
      <c r="X58" s="515"/>
      <c r="Z58" s="517">
        <v>100000</v>
      </c>
      <c r="AB58" s="59"/>
    </row>
    <row r="59" spans="2:28" ht="15" customHeight="1">
      <c r="B59" s="155"/>
      <c r="C59" s="759" t="s">
        <v>339</v>
      </c>
      <c r="D59" s="760"/>
      <c r="E59" s="760"/>
      <c r="F59" s="760"/>
      <c r="G59" s="760"/>
      <c r="H59" s="760"/>
      <c r="I59" s="760"/>
      <c r="J59" s="760"/>
      <c r="K59" s="760"/>
      <c r="L59" s="761"/>
      <c r="M59" s="209" t="s">
        <v>222</v>
      </c>
      <c r="N59" s="210">
        <f>AB62+L52</f>
        <v>32606</v>
      </c>
      <c r="O59" s="515"/>
      <c r="P59" s="515"/>
      <c r="Q59" s="515"/>
      <c r="R59" s="515"/>
      <c r="S59" s="515"/>
      <c r="T59" s="515"/>
      <c r="U59" s="515"/>
      <c r="V59" s="515"/>
      <c r="W59" s="515"/>
      <c r="X59" s="515"/>
      <c r="Y59" s="59">
        <f>Z54+N56+N58</f>
        <v>32606</v>
      </c>
      <c r="Z59" s="73">
        <v>150000</v>
      </c>
      <c r="AB59" s="522">
        <f>IF(AB56&lt;Y54,AB56,AB57)</f>
        <v>32606</v>
      </c>
    </row>
    <row r="60" spans="2:28" ht="15" customHeight="1">
      <c r="B60" s="192" t="s">
        <v>351</v>
      </c>
      <c r="C60" s="201"/>
      <c r="D60" s="202" t="s">
        <v>518</v>
      </c>
      <c r="E60" s="202" t="s">
        <v>521</v>
      </c>
      <c r="F60" s="195" t="s">
        <v>222</v>
      </c>
      <c r="G60" s="180">
        <f>'Annexure -II'!L45</f>
        <v>0</v>
      </c>
      <c r="H60" s="195"/>
      <c r="I60" s="186" t="s">
        <v>222</v>
      </c>
      <c r="J60" s="167">
        <f>'Annexure -II'!M45</f>
        <v>0</v>
      </c>
      <c r="K60" s="195" t="s">
        <v>222</v>
      </c>
      <c r="L60" s="167">
        <f>J60</f>
        <v>0</v>
      </c>
      <c r="M60" s="205" t="s">
        <v>222</v>
      </c>
      <c r="N60" s="206">
        <f>L60</f>
        <v>0</v>
      </c>
      <c r="O60" s="515"/>
      <c r="P60" s="515"/>
      <c r="Q60" s="515"/>
      <c r="R60" s="515"/>
      <c r="S60" s="515"/>
      <c r="T60" s="515"/>
      <c r="U60" s="515"/>
      <c r="V60" s="515"/>
      <c r="W60" s="515"/>
      <c r="X60" s="515"/>
      <c r="Y60" s="59"/>
      <c r="Z60" s="73">
        <v>25000</v>
      </c>
      <c r="AB60" s="522"/>
    </row>
    <row r="61" spans="2:28" ht="12" customHeight="1">
      <c r="B61" s="762" t="s">
        <v>340</v>
      </c>
      <c r="C61" s="763"/>
      <c r="D61" s="764" t="s">
        <v>341</v>
      </c>
      <c r="E61" s="764"/>
      <c r="F61" s="764"/>
      <c r="G61" s="764"/>
      <c r="H61" s="764"/>
      <c r="I61" s="764"/>
      <c r="J61" s="764"/>
      <c r="K61" s="764"/>
      <c r="L61" s="764"/>
      <c r="M61" s="764"/>
      <c r="N61" s="765"/>
      <c r="O61" s="516"/>
      <c r="P61" s="516"/>
      <c r="Q61" s="516"/>
      <c r="R61" s="516"/>
      <c r="S61" s="516"/>
      <c r="T61" s="516"/>
      <c r="U61" s="516"/>
      <c r="V61" s="516"/>
      <c r="W61" s="516"/>
      <c r="X61" s="516"/>
      <c r="AB61" s="59"/>
    </row>
    <row r="62" spans="2:28" ht="12" customHeight="1">
      <c r="B62" s="780"/>
      <c r="C62" s="781"/>
      <c r="D62" s="782" t="s">
        <v>342</v>
      </c>
      <c r="E62" s="782"/>
      <c r="F62" s="782"/>
      <c r="G62" s="782"/>
      <c r="H62" s="782"/>
      <c r="I62" s="782"/>
      <c r="J62" s="782"/>
      <c r="K62" s="782"/>
      <c r="L62" s="782"/>
      <c r="M62" s="782"/>
      <c r="N62" s="783"/>
      <c r="O62" s="516"/>
      <c r="P62" s="516"/>
      <c r="Q62" s="516"/>
      <c r="R62" s="516"/>
      <c r="S62" s="516"/>
      <c r="T62" s="516"/>
      <c r="U62" s="516"/>
      <c r="V62" s="516"/>
      <c r="W62" s="516"/>
      <c r="X62" s="516"/>
      <c r="AB62" s="519">
        <f>IF(Y59&lt;Z59,Y59,IF(Y59&gt;Z59,Z59))</f>
        <v>32606</v>
      </c>
    </row>
    <row r="63" spans="2:24" ht="13.5" customHeight="1">
      <c r="B63" s="84" t="str">
        <f>'Annexure -II'!B67</f>
        <v>Progrmme developed by www.prtunzb.webs.com (Putta Srinivas Reddy 98490 25860)</v>
      </c>
      <c r="C63" s="85"/>
      <c r="D63" s="67"/>
      <c r="E63" s="67"/>
      <c r="F63" s="67"/>
      <c r="G63" s="67"/>
      <c r="H63" s="67"/>
      <c r="I63" s="67"/>
      <c r="J63" s="67"/>
      <c r="K63" s="67"/>
      <c r="L63" s="67"/>
      <c r="M63" s="67"/>
      <c r="N63" s="67"/>
      <c r="O63" s="67"/>
      <c r="P63" s="67"/>
      <c r="Q63" s="67"/>
      <c r="R63" s="67"/>
      <c r="S63" s="67"/>
      <c r="T63" s="67"/>
      <c r="U63" s="67"/>
      <c r="V63" s="67"/>
      <c r="W63" s="67"/>
      <c r="X63" s="67"/>
    </row>
    <row r="64" spans="2:24" ht="13.5" customHeight="1" hidden="1">
      <c r="B64" s="85"/>
      <c r="C64" s="85"/>
      <c r="D64" s="67"/>
      <c r="E64" s="67"/>
      <c r="F64" s="67"/>
      <c r="G64" s="67"/>
      <c r="H64" s="67"/>
      <c r="I64" s="67"/>
      <c r="J64" s="67"/>
      <c r="K64" s="67"/>
      <c r="L64" s="67"/>
      <c r="M64" s="67"/>
      <c r="N64" s="67"/>
      <c r="O64" s="67"/>
      <c r="P64" s="67"/>
      <c r="Q64" s="67"/>
      <c r="R64" s="67"/>
      <c r="S64" s="67"/>
      <c r="T64" s="67"/>
      <c r="U64" s="67"/>
      <c r="V64" s="67"/>
      <c r="W64" s="67"/>
      <c r="X64" s="67"/>
    </row>
    <row r="65" spans="2:24" ht="13.5" customHeight="1" hidden="1">
      <c r="B65" s="85"/>
      <c r="C65" s="85"/>
      <c r="D65" s="59"/>
      <c r="E65" s="523"/>
      <c r="F65" s="523"/>
      <c r="G65" s="523"/>
      <c r="H65" s="523"/>
      <c r="I65" s="59"/>
      <c r="J65" s="59"/>
      <c r="K65" s="59"/>
      <c r="L65" s="59"/>
      <c r="M65" s="59"/>
      <c r="N65" s="59"/>
      <c r="O65" s="59"/>
      <c r="P65" s="59"/>
      <c r="Q65" s="59"/>
      <c r="R65" s="59"/>
      <c r="S65" s="59"/>
      <c r="T65" s="59"/>
      <c r="U65" s="59"/>
      <c r="V65" s="59"/>
      <c r="W65" s="59"/>
      <c r="X65" s="59"/>
    </row>
    <row r="66" spans="2:24" ht="13.5" customHeight="1" hidden="1">
      <c r="B66" s="85"/>
      <c r="C66" s="68"/>
      <c r="D66" s="68"/>
      <c r="E66" s="68"/>
      <c r="F66" s="68"/>
      <c r="G66" s="68"/>
      <c r="H66" s="68"/>
      <c r="I66" s="59"/>
      <c r="J66" s="59"/>
      <c r="K66" s="59"/>
      <c r="L66" s="59"/>
      <c r="M66" s="59"/>
      <c r="N66" s="59"/>
      <c r="O66" s="59"/>
      <c r="P66" s="59"/>
      <c r="Q66" s="59"/>
      <c r="R66" s="59"/>
      <c r="S66" s="59"/>
      <c r="T66" s="59"/>
      <c r="U66" s="59"/>
      <c r="V66" s="59"/>
      <c r="W66" s="59"/>
      <c r="X66" s="59"/>
    </row>
    <row r="67" spans="2:24" ht="13.5" customHeight="1" hidden="1">
      <c r="B67" s="524"/>
      <c r="C67" s="85"/>
      <c r="D67" s="523"/>
      <c r="E67" s="523"/>
      <c r="F67" s="523"/>
      <c r="G67" s="523"/>
      <c r="H67" s="523"/>
      <c r="I67" s="59"/>
      <c r="J67" s="59"/>
      <c r="K67" s="59"/>
      <c r="L67" s="59"/>
      <c r="M67" s="59"/>
      <c r="N67" s="59"/>
      <c r="O67" s="59"/>
      <c r="P67" s="59"/>
      <c r="Q67" s="59"/>
      <c r="R67" s="59"/>
      <c r="S67" s="59"/>
      <c r="T67" s="59"/>
      <c r="U67" s="59"/>
      <c r="V67" s="59"/>
      <c r="W67" s="59"/>
      <c r="X67" s="59"/>
    </row>
    <row r="68" spans="2:24" ht="13.5" customHeight="1" hidden="1">
      <c r="B68" s="88"/>
      <c r="C68" s="85"/>
      <c r="D68" s="523"/>
      <c r="E68" s="523"/>
      <c r="F68" s="523"/>
      <c r="G68" s="523"/>
      <c r="H68" s="523"/>
      <c r="I68" s="59"/>
      <c r="J68" s="59"/>
      <c r="K68" s="59"/>
      <c r="L68" s="59"/>
      <c r="M68" s="59"/>
      <c r="N68" s="59"/>
      <c r="O68" s="59"/>
      <c r="P68" s="59"/>
      <c r="Q68" s="59"/>
      <c r="R68" s="59"/>
      <c r="S68" s="59"/>
      <c r="T68" s="59"/>
      <c r="U68" s="59"/>
      <c r="V68" s="59"/>
      <c r="W68" s="59"/>
      <c r="X68" s="59"/>
    </row>
    <row r="69" spans="2:25" ht="16.5" hidden="1">
      <c r="B69" s="88"/>
      <c r="C69" s="60"/>
      <c r="D69" s="59"/>
      <c r="E69" s="59"/>
      <c r="F69" s="59"/>
      <c r="H69" s="59"/>
      <c r="I69" s="59"/>
      <c r="J69" s="59"/>
      <c r="K69" s="59"/>
      <c r="L69" s="59"/>
      <c r="M69" s="59"/>
      <c r="N69" s="665"/>
      <c r="O69" s="665"/>
      <c r="P69" s="665"/>
      <c r="Q69" s="665"/>
      <c r="R69" s="665"/>
      <c r="S69" s="665"/>
      <c r="T69" s="665"/>
      <c r="U69" s="59"/>
      <c r="V69" s="59"/>
      <c r="W69" s="59"/>
      <c r="X69" s="59"/>
      <c r="Y69" s="59"/>
    </row>
    <row r="70" spans="2:25" ht="16.5" hidden="1">
      <c r="B70" s="88"/>
      <c r="C70" s="60"/>
      <c r="D70" s="59"/>
      <c r="E70" s="59"/>
      <c r="F70" s="59"/>
      <c r="G70" s="59"/>
      <c r="H70" s="59"/>
      <c r="I70" s="59"/>
      <c r="J70" s="59"/>
      <c r="K70" s="59"/>
      <c r="L70" s="59"/>
      <c r="M70" s="59"/>
      <c r="N70" s="59"/>
      <c r="O70" s="59"/>
      <c r="P70" s="59"/>
      <c r="Q70" s="59"/>
      <c r="R70" s="59"/>
      <c r="S70" s="59"/>
      <c r="T70" s="59"/>
      <c r="U70" s="59"/>
      <c r="V70" s="59"/>
      <c r="W70" s="59"/>
      <c r="X70" s="59"/>
      <c r="Y70" s="59"/>
    </row>
    <row r="71" spans="2:25" ht="16.5" hidden="1">
      <c r="B71" s="88"/>
      <c r="C71" s="60"/>
      <c r="D71" s="59"/>
      <c r="E71" s="59"/>
      <c r="F71" s="59"/>
      <c r="G71" s="59"/>
      <c r="H71" s="59"/>
      <c r="I71" s="59"/>
      <c r="J71" s="59"/>
      <c r="K71" s="59"/>
      <c r="L71" s="59"/>
      <c r="M71" s="59"/>
      <c r="N71" s="59"/>
      <c r="O71" s="59"/>
      <c r="P71" s="59"/>
      <c r="Q71" s="59"/>
      <c r="R71" s="59"/>
      <c r="S71" s="59"/>
      <c r="T71" s="59"/>
      <c r="U71" s="59"/>
      <c r="V71" s="59"/>
      <c r="W71" s="59"/>
      <c r="X71" s="59"/>
      <c r="Y71" s="59"/>
    </row>
    <row r="72" spans="2:25" ht="15" hidden="1">
      <c r="B72" s="59"/>
      <c r="C72" s="60"/>
      <c r="D72" s="59"/>
      <c r="E72" s="59"/>
      <c r="F72" s="59"/>
      <c r="G72" s="59"/>
      <c r="H72" s="59"/>
      <c r="I72" s="59"/>
      <c r="J72" s="59"/>
      <c r="K72" s="59"/>
      <c r="L72" s="59"/>
      <c r="M72" s="59"/>
      <c r="N72" s="59"/>
      <c r="O72" s="59"/>
      <c r="P72" s="59"/>
      <c r="Q72" s="59"/>
      <c r="R72" s="59"/>
      <c r="S72" s="59"/>
      <c r="T72" s="59"/>
      <c r="U72" s="59"/>
      <c r="V72" s="59"/>
      <c r="W72" s="59"/>
      <c r="X72" s="59"/>
      <c r="Y72" s="59"/>
    </row>
    <row r="73" spans="2:25" ht="15" hidden="1">
      <c r="B73" s="59"/>
      <c r="C73" s="60"/>
      <c r="D73" s="59"/>
      <c r="E73" s="59"/>
      <c r="F73" s="59"/>
      <c r="G73" s="59"/>
      <c r="H73" s="59"/>
      <c r="I73" s="59"/>
      <c r="J73" s="59"/>
      <c r="K73" s="59"/>
      <c r="L73" s="59"/>
      <c r="M73" s="59"/>
      <c r="N73" s="59"/>
      <c r="O73" s="59"/>
      <c r="P73" s="59"/>
      <c r="Q73" s="59"/>
      <c r="R73" s="59"/>
      <c r="S73" s="59"/>
      <c r="T73" s="59"/>
      <c r="U73" s="59"/>
      <c r="V73" s="59"/>
      <c r="W73" s="59"/>
      <c r="X73" s="59"/>
      <c r="Y73" s="59"/>
    </row>
    <row r="74" spans="2:25" ht="15" hidden="1">
      <c r="B74" s="59"/>
      <c r="C74" s="60"/>
      <c r="D74" s="59"/>
      <c r="E74" s="59"/>
      <c r="F74" s="59"/>
      <c r="G74" s="59"/>
      <c r="H74" s="59"/>
      <c r="I74" s="59"/>
      <c r="J74" s="59"/>
      <c r="K74" s="59"/>
      <c r="L74" s="59"/>
      <c r="M74" s="59"/>
      <c r="N74" s="59"/>
      <c r="O74" s="59"/>
      <c r="P74" s="59"/>
      <c r="Q74" s="59"/>
      <c r="R74" s="59"/>
      <c r="S74" s="59"/>
      <c r="T74" s="59"/>
      <c r="U74" s="59"/>
      <c r="V74" s="59"/>
      <c r="W74" s="59"/>
      <c r="X74" s="59"/>
      <c r="Y74" s="59"/>
    </row>
    <row r="75" spans="2:25" ht="15" hidden="1">
      <c r="B75" s="59"/>
      <c r="C75" s="60"/>
      <c r="D75" s="59"/>
      <c r="E75" s="59"/>
      <c r="F75" s="59"/>
      <c r="G75" s="59"/>
      <c r="H75" s="59"/>
      <c r="I75" s="59"/>
      <c r="J75" s="59"/>
      <c r="K75" s="59"/>
      <c r="L75" s="59"/>
      <c r="M75" s="59"/>
      <c r="N75" s="59"/>
      <c r="O75" s="59"/>
      <c r="P75" s="59"/>
      <c r="Q75" s="59"/>
      <c r="R75" s="59"/>
      <c r="S75" s="59"/>
      <c r="T75" s="59"/>
      <c r="U75" s="59"/>
      <c r="V75" s="59"/>
      <c r="W75" s="59"/>
      <c r="X75" s="59"/>
      <c r="Y75" s="59"/>
    </row>
    <row r="76" spans="2:25" ht="15" hidden="1">
      <c r="B76" s="59"/>
      <c r="C76" s="60"/>
      <c r="D76" s="59"/>
      <c r="E76" s="59"/>
      <c r="F76" s="59"/>
      <c r="G76" s="59"/>
      <c r="H76" s="59"/>
      <c r="I76" s="59"/>
      <c r="J76" s="59"/>
      <c r="K76" s="59"/>
      <c r="L76" s="59"/>
      <c r="M76" s="59"/>
      <c r="N76" s="59"/>
      <c r="O76" s="59"/>
      <c r="P76" s="59"/>
      <c r="Q76" s="59"/>
      <c r="R76" s="59"/>
      <c r="S76" s="59"/>
      <c r="T76" s="59"/>
      <c r="U76" s="59"/>
      <c r="V76" s="59"/>
      <c r="W76" s="59"/>
      <c r="X76" s="59"/>
      <c r="Y76" s="59"/>
    </row>
    <row r="77" spans="2:25" ht="15" hidden="1">
      <c r="B77" s="59"/>
      <c r="C77" s="60"/>
      <c r="D77" s="59"/>
      <c r="E77" s="59"/>
      <c r="F77" s="59"/>
      <c r="G77" s="59"/>
      <c r="H77" s="59"/>
      <c r="I77" s="59"/>
      <c r="J77" s="59"/>
      <c r="K77" s="59"/>
      <c r="L77" s="59"/>
      <c r="M77" s="59"/>
      <c r="N77" s="59"/>
      <c r="O77" s="59"/>
      <c r="P77" s="59"/>
      <c r="Q77" s="59"/>
      <c r="R77" s="59"/>
      <c r="S77" s="59"/>
      <c r="T77" s="59"/>
      <c r="U77" s="59"/>
      <c r="V77" s="59"/>
      <c r="W77" s="59"/>
      <c r="X77" s="59"/>
      <c r="Y77" s="59"/>
    </row>
    <row r="78" spans="2:24" ht="15" hidden="1">
      <c r="B78" s="59"/>
      <c r="C78" s="60"/>
      <c r="D78" s="59"/>
      <c r="E78" s="59"/>
      <c r="F78" s="59"/>
      <c r="G78" s="59"/>
      <c r="H78" s="59"/>
      <c r="I78" s="59"/>
      <c r="J78" s="59"/>
      <c r="K78" s="59"/>
      <c r="L78" s="59"/>
      <c r="M78" s="59"/>
      <c r="N78" s="59"/>
      <c r="O78" s="59"/>
      <c r="P78" s="59"/>
      <c r="Q78" s="59"/>
      <c r="R78" s="59"/>
      <c r="S78" s="59"/>
      <c r="T78" s="59"/>
      <c r="U78" s="59"/>
      <c r="V78" s="59"/>
      <c r="W78" s="59"/>
      <c r="X78" s="59"/>
    </row>
    <row r="79" spans="2:24" ht="15" hidden="1">
      <c r="B79" s="59"/>
      <c r="C79" s="60"/>
      <c r="D79" s="59"/>
      <c r="E79" s="59"/>
      <c r="F79" s="59"/>
      <c r="G79" s="59"/>
      <c r="H79" s="59"/>
      <c r="I79" s="59"/>
      <c r="J79" s="59"/>
      <c r="K79" s="59"/>
      <c r="L79" s="59"/>
      <c r="M79" s="59"/>
      <c r="N79" s="59"/>
      <c r="O79" s="59"/>
      <c r="P79" s="59"/>
      <c r="Q79" s="59"/>
      <c r="R79" s="59"/>
      <c r="S79" s="59"/>
      <c r="T79" s="59"/>
      <c r="U79" s="59"/>
      <c r="V79" s="59"/>
      <c r="W79" s="59"/>
      <c r="X79" s="59"/>
    </row>
    <row r="80" spans="2:24" ht="15" hidden="1">
      <c r="B80" s="59"/>
      <c r="C80" s="60"/>
      <c r="D80" s="59"/>
      <c r="E80" s="59"/>
      <c r="F80" s="59"/>
      <c r="G80" s="59"/>
      <c r="H80" s="59"/>
      <c r="I80" s="59"/>
      <c r="J80" s="59"/>
      <c r="K80" s="59"/>
      <c r="L80" s="59"/>
      <c r="M80" s="59"/>
      <c r="N80" s="59"/>
      <c r="O80" s="59"/>
      <c r="P80" s="59"/>
      <c r="Q80" s="59"/>
      <c r="R80" s="59"/>
      <c r="S80" s="59"/>
      <c r="T80" s="59"/>
      <c r="U80" s="59"/>
      <c r="V80" s="59"/>
      <c r="W80" s="59"/>
      <c r="X80" s="59"/>
    </row>
    <row r="81" spans="2:24" ht="15" hidden="1">
      <c r="B81" s="59"/>
      <c r="C81" s="60"/>
      <c r="D81" s="59"/>
      <c r="E81" s="59"/>
      <c r="F81" s="59"/>
      <c r="G81" s="59"/>
      <c r="H81" s="59"/>
      <c r="I81" s="59"/>
      <c r="J81" s="59"/>
      <c r="K81" s="59"/>
      <c r="L81" s="59"/>
      <c r="M81" s="59"/>
      <c r="N81" s="59"/>
      <c r="O81" s="59"/>
      <c r="P81" s="59"/>
      <c r="Q81" s="59"/>
      <c r="R81" s="59"/>
      <c r="S81" s="59"/>
      <c r="T81" s="59"/>
      <c r="U81" s="59"/>
      <c r="V81" s="59"/>
      <c r="W81" s="59"/>
      <c r="X81" s="59"/>
    </row>
    <row r="82" spans="2:24" ht="15" hidden="1">
      <c r="B82" s="59"/>
      <c r="C82" s="60"/>
      <c r="D82" s="59"/>
      <c r="E82" s="59"/>
      <c r="F82" s="59"/>
      <c r="G82" s="59"/>
      <c r="H82" s="59"/>
      <c r="I82" s="59"/>
      <c r="J82" s="59"/>
      <c r="K82" s="59"/>
      <c r="L82" s="59"/>
      <c r="M82" s="59"/>
      <c r="N82" s="59"/>
      <c r="O82" s="59"/>
      <c r="P82" s="59"/>
      <c r="Q82" s="59"/>
      <c r="R82" s="59"/>
      <c r="S82" s="59"/>
      <c r="T82" s="59"/>
      <c r="U82" s="59"/>
      <c r="V82" s="59"/>
      <c r="W82" s="59"/>
      <c r="X82" s="59"/>
    </row>
    <row r="83" ht="15" hidden="1">
      <c r="C83" s="525"/>
    </row>
    <row r="84" ht="15" hidden="1">
      <c r="C84" s="525"/>
    </row>
    <row r="85" ht="15" hidden="1">
      <c r="C85" s="525"/>
    </row>
    <row r="86" ht="15" hidden="1">
      <c r="C86" s="525"/>
    </row>
    <row r="87" ht="15" hidden="1">
      <c r="C87" s="525"/>
    </row>
    <row r="88" ht="15" hidden="1">
      <c r="C88" s="525"/>
    </row>
    <row r="89" ht="15" hidden="1">
      <c r="C89" s="525"/>
    </row>
    <row r="90" ht="13.5" customHeight="1" hidden="1"/>
    <row r="91" ht="15" hidden="1">
      <c r="C91" s="525"/>
    </row>
    <row r="92" ht="15" hidden="1">
      <c r="C92" s="525"/>
    </row>
    <row r="93" ht="15" hidden="1">
      <c r="C93" s="525"/>
    </row>
    <row r="94" ht="15" hidden="1">
      <c r="C94" s="525"/>
    </row>
    <row r="95" ht="15" hidden="1">
      <c r="C95" s="525"/>
    </row>
    <row r="96" ht="15" hidden="1">
      <c r="C96" s="525"/>
    </row>
    <row r="97" ht="15" hidden="1">
      <c r="C97" s="525"/>
    </row>
    <row r="98" ht="15" hidden="1">
      <c r="C98" s="525"/>
    </row>
    <row r="99" ht="15" hidden="1">
      <c r="C99" s="525"/>
    </row>
    <row r="100" ht="15" hidden="1">
      <c r="C100" s="525"/>
    </row>
    <row r="101" ht="15" hidden="1">
      <c r="C101" s="525"/>
    </row>
    <row r="102" ht="15" hidden="1">
      <c r="C102" s="525"/>
    </row>
    <row r="103" ht="15" hidden="1">
      <c r="C103" s="525"/>
    </row>
    <row r="104" ht="15" hidden="1">
      <c r="C104" s="525"/>
    </row>
    <row r="105" ht="15" hidden="1">
      <c r="C105" s="525"/>
    </row>
    <row r="106" ht="15" hidden="1">
      <c r="C106" s="525"/>
    </row>
    <row r="107" ht="15" hidden="1">
      <c r="C107" s="525"/>
    </row>
    <row r="108" ht="15" hidden="1">
      <c r="C108" s="525"/>
    </row>
    <row r="109" ht="15" hidden="1">
      <c r="C109" s="525"/>
    </row>
  </sheetData>
  <sheetProtection password="9B76" sheet="1" selectLockedCells="1" selectUnlockedCells="1"/>
  <protectedRanges>
    <protectedRange sqref="B1:N62" name="Range1"/>
    <protectedRange sqref="N69:T69" name="Range1_1"/>
  </protectedRanges>
  <mergeCells count="70">
    <mergeCell ref="C40:G40"/>
    <mergeCell ref="C41:E41"/>
    <mergeCell ref="C34:H34"/>
    <mergeCell ref="C31:H31"/>
    <mergeCell ref="N69:T69"/>
    <mergeCell ref="C38:H38"/>
    <mergeCell ref="K41:L41"/>
    <mergeCell ref="B62:C62"/>
    <mergeCell ref="D62:N62"/>
    <mergeCell ref="D56:E56"/>
    <mergeCell ref="D58:E58"/>
    <mergeCell ref="C59:L59"/>
    <mergeCell ref="B61:C61"/>
    <mergeCell ref="D61:N61"/>
    <mergeCell ref="B18:N18"/>
    <mergeCell ref="B15:D15"/>
    <mergeCell ref="E15:H15"/>
    <mergeCell ref="I15:J17"/>
    <mergeCell ref="K15:L17"/>
    <mergeCell ref="M15:N17"/>
    <mergeCell ref="B17:D17"/>
    <mergeCell ref="E17:H17"/>
    <mergeCell ref="D23:H23"/>
    <mergeCell ref="K14:L14"/>
    <mergeCell ref="D24:H24"/>
    <mergeCell ref="B1:N1"/>
    <mergeCell ref="B2:N3"/>
    <mergeCell ref="B4:H4"/>
    <mergeCell ref="I4:N4"/>
    <mergeCell ref="B16:D16"/>
    <mergeCell ref="E16:H16"/>
    <mergeCell ref="M13:N13"/>
    <mergeCell ref="B6:H6"/>
    <mergeCell ref="I6:N6"/>
    <mergeCell ref="B9:H9"/>
    <mergeCell ref="I9:N9"/>
    <mergeCell ref="B7:H7"/>
    <mergeCell ref="I7:N7"/>
    <mergeCell ref="B8:H8"/>
    <mergeCell ref="I8:N8"/>
    <mergeCell ref="D29:E29"/>
    <mergeCell ref="I54:L54"/>
    <mergeCell ref="D47:E47"/>
    <mergeCell ref="C35:H35"/>
    <mergeCell ref="C36:H36"/>
    <mergeCell ref="C37:H37"/>
    <mergeCell ref="I41:J41"/>
    <mergeCell ref="D46:E46"/>
    <mergeCell ref="C30:H30"/>
    <mergeCell ref="C39:E39"/>
    <mergeCell ref="I10:N10"/>
    <mergeCell ref="B11:D11"/>
    <mergeCell ref="E11:G11"/>
    <mergeCell ref="I11:K11"/>
    <mergeCell ref="D25:H25"/>
    <mergeCell ref="C27:H27"/>
    <mergeCell ref="B14:D14"/>
    <mergeCell ref="E14:H14"/>
    <mergeCell ref="I14:J14"/>
    <mergeCell ref="M14:N14"/>
    <mergeCell ref="B19:N19"/>
    <mergeCell ref="C20:D20"/>
    <mergeCell ref="D21:H21"/>
    <mergeCell ref="D22:H22"/>
    <mergeCell ref="B10:H10"/>
    <mergeCell ref="L11:N11"/>
    <mergeCell ref="B13:D13"/>
    <mergeCell ref="E13:H13"/>
    <mergeCell ref="I13:L13"/>
    <mergeCell ref="B12:N12"/>
  </mergeCells>
  <printOptions horizontalCentered="1" verticalCentered="1"/>
  <pageMargins left="0.7" right="0.45" top="0.5" bottom="0.5" header="0" footer="0"/>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10">
      <selection activeCell="FF1" sqref="FF1:IV16384"/>
    </sheetView>
  </sheetViews>
  <sheetFormatPr defaultColWidth="0" defaultRowHeight="13.5" customHeight="1"/>
  <cols>
    <col min="1" max="1" width="1.421875" style="57" customWidth="1"/>
    <col min="2" max="2" width="3.57421875" style="57" customWidth="1"/>
    <col min="3" max="3" width="3.140625" style="57" customWidth="1"/>
    <col min="4" max="4" width="3.8515625" style="57" customWidth="1"/>
    <col min="5" max="5" width="9.8515625" style="57" customWidth="1"/>
    <col min="6" max="6" width="12.57421875" style="57" customWidth="1"/>
    <col min="7" max="7" width="13.140625" style="57" customWidth="1"/>
    <col min="8" max="8" width="4.00390625" style="57" customWidth="1"/>
    <col min="9" max="9" width="9.28125" style="57" customWidth="1"/>
    <col min="10" max="10" width="10.00390625" style="57" customWidth="1"/>
    <col min="11" max="11" width="9.8515625" style="57" customWidth="1"/>
    <col min="12" max="12" width="2.8515625" style="57" customWidth="1"/>
    <col min="13" max="13" width="10.140625" style="57" customWidth="1"/>
    <col min="14" max="14" width="4.7109375" style="57" hidden="1" customWidth="1"/>
    <col min="15" max="28" width="8.57421875" style="57" hidden="1" customWidth="1"/>
    <col min="29" max="30" width="9.140625" style="57" hidden="1" customWidth="1"/>
    <col min="31" max="31" width="36.28125" style="57" hidden="1" customWidth="1"/>
    <col min="32" max="32" width="6.8515625" style="57" hidden="1" customWidth="1"/>
    <col min="33" max="33" width="11.28125" style="57" hidden="1" customWidth="1"/>
    <col min="34" max="113" width="9.140625" style="57" hidden="1" customWidth="1"/>
    <col min="114" max="114" width="9.421875" style="57" hidden="1" customWidth="1"/>
    <col min="115" max="161" width="9.140625" style="57" hidden="1" customWidth="1"/>
    <col min="162" max="16384" width="5.8515625" style="57" hidden="1" customWidth="1"/>
  </cols>
  <sheetData>
    <row r="1" spans="15:28" ht="7.5" customHeight="1">
      <c r="O1" s="59"/>
      <c r="P1" s="59"/>
      <c r="Q1" s="59"/>
      <c r="R1" s="59"/>
      <c r="S1" s="59"/>
      <c r="T1" s="59"/>
      <c r="U1" s="59"/>
      <c r="V1" s="59"/>
      <c r="W1" s="59"/>
      <c r="X1" s="59"/>
      <c r="Y1" s="59"/>
      <c r="Z1" s="59"/>
      <c r="AA1" s="59"/>
      <c r="AB1" s="59"/>
    </row>
    <row r="2" spans="2:28" ht="14.25" customHeight="1">
      <c r="B2" s="221" t="s">
        <v>351</v>
      </c>
      <c r="C2" s="815" t="s">
        <v>352</v>
      </c>
      <c r="D2" s="815"/>
      <c r="E2" s="815"/>
      <c r="F2" s="815"/>
      <c r="G2" s="815"/>
      <c r="H2" s="816" t="s">
        <v>316</v>
      </c>
      <c r="I2" s="816"/>
      <c r="J2" s="222" t="s">
        <v>317</v>
      </c>
      <c r="K2" s="222" t="s">
        <v>318</v>
      </c>
      <c r="L2" s="223"/>
      <c r="M2" s="224"/>
      <c r="N2" s="65"/>
      <c r="O2" s="65"/>
      <c r="P2" s="65"/>
      <c r="Q2" s="65"/>
      <c r="R2" s="65"/>
      <c r="S2" s="65"/>
      <c r="T2" s="65"/>
      <c r="U2" s="65"/>
      <c r="V2" s="65"/>
      <c r="W2" s="65"/>
      <c r="X2" s="65"/>
      <c r="Y2" s="65"/>
      <c r="Z2" s="65"/>
      <c r="AA2" s="65"/>
      <c r="AB2" s="59"/>
    </row>
    <row r="3" spans="2:30" ht="14.25" customHeight="1">
      <c r="B3" s="225"/>
      <c r="C3" s="817" t="s">
        <v>353</v>
      </c>
      <c r="D3" s="817"/>
      <c r="E3" s="817"/>
      <c r="F3" s="817"/>
      <c r="G3" s="817"/>
      <c r="H3" s="818" t="s">
        <v>320</v>
      </c>
      <c r="I3" s="818"/>
      <c r="J3" s="226" t="s">
        <v>320</v>
      </c>
      <c r="K3" s="226" t="s">
        <v>320</v>
      </c>
      <c r="L3" s="133"/>
      <c r="M3" s="227"/>
      <c r="N3" s="65"/>
      <c r="O3" s="65"/>
      <c r="P3" s="65"/>
      <c r="Q3" s="65"/>
      <c r="R3" s="65"/>
      <c r="S3" s="65"/>
      <c r="T3" s="65"/>
      <c r="U3" s="65"/>
      <c r="V3" s="65"/>
      <c r="W3" s="65"/>
      <c r="X3" s="65"/>
      <c r="Y3" s="65"/>
      <c r="Z3" s="65"/>
      <c r="AA3" s="65"/>
      <c r="AC3" s="228"/>
      <c r="AD3" s="59"/>
    </row>
    <row r="4" spans="2:36" ht="15" customHeight="1">
      <c r="B4" s="229"/>
      <c r="C4" s="784" t="s">
        <v>354</v>
      </c>
      <c r="D4" s="786"/>
      <c r="E4" s="786"/>
      <c r="F4" s="786"/>
      <c r="G4" s="786"/>
      <c r="H4" s="230" t="s">
        <v>222</v>
      </c>
      <c r="I4" s="231">
        <f>'Annexure -II'!L29</f>
        <v>1682</v>
      </c>
      <c r="J4" s="232">
        <f>IF(I4&lt;=AD18,I4,IF(I4&gt;=AD18,AD18))</f>
        <v>1682</v>
      </c>
      <c r="K4" s="233">
        <f aca="true" t="shared" si="0" ref="K4:K11">J4</f>
        <v>1682</v>
      </c>
      <c r="L4" s="133"/>
      <c r="M4" s="227"/>
      <c r="N4" s="65"/>
      <c r="O4" s="65"/>
      <c r="P4" s="65"/>
      <c r="Q4" s="65"/>
      <c r="R4" s="65"/>
      <c r="S4" s="65"/>
      <c r="T4" s="65"/>
      <c r="U4" s="65"/>
      <c r="V4" s="65"/>
      <c r="W4" s="65"/>
      <c r="X4" s="65"/>
      <c r="Y4" s="65"/>
      <c r="Z4" s="65"/>
      <c r="AA4" s="65"/>
      <c r="AB4" s="59"/>
      <c r="AD4" s="91"/>
      <c r="AE4" s="86"/>
      <c r="AF4" s="86"/>
      <c r="AG4" s="87"/>
      <c r="AJ4" s="234"/>
    </row>
    <row r="5" spans="2:33" ht="15" customHeight="1">
      <c r="B5" s="229"/>
      <c r="C5" s="784" t="str">
        <f>'Annexure -II'!D22</f>
        <v>Expenditure on medical treatment</v>
      </c>
      <c r="D5" s="785"/>
      <c r="E5" s="785"/>
      <c r="F5" s="785"/>
      <c r="G5" s="785"/>
      <c r="H5" s="230" t="s">
        <v>222</v>
      </c>
      <c r="I5" s="235">
        <v>0</v>
      </c>
      <c r="J5" s="231">
        <f>'Annexure -II'!L22</f>
        <v>0</v>
      </c>
      <c r="K5" s="233">
        <f t="shared" si="0"/>
        <v>0</v>
      </c>
      <c r="L5" s="133"/>
      <c r="M5" s="227"/>
      <c r="N5" s="65"/>
      <c r="O5" s="65"/>
      <c r="P5" s="65"/>
      <c r="Q5" s="65"/>
      <c r="R5" s="65"/>
      <c r="S5" s="65"/>
      <c r="T5" s="65"/>
      <c r="U5" s="65"/>
      <c r="V5" s="65"/>
      <c r="W5" s="65"/>
      <c r="X5" s="65"/>
      <c r="Y5" s="65"/>
      <c r="Z5" s="65"/>
      <c r="AA5" s="65"/>
      <c r="AB5" s="59"/>
      <c r="AD5" s="91"/>
      <c r="AE5" s="86"/>
      <c r="AF5" s="86"/>
      <c r="AG5" s="87"/>
    </row>
    <row r="6" spans="2:35" ht="15" customHeight="1">
      <c r="B6" s="229"/>
      <c r="C6" s="784" t="str">
        <f>'Annexure -II'!D23</f>
        <v>Medical Insurance Premium + EHF Deduction</v>
      </c>
      <c r="D6" s="785"/>
      <c r="E6" s="785"/>
      <c r="F6" s="785"/>
      <c r="G6" s="785"/>
      <c r="H6" s="230" t="s">
        <v>222</v>
      </c>
      <c r="I6" s="235">
        <f>'Annexure -II'!L23</f>
        <v>360</v>
      </c>
      <c r="J6" s="231">
        <f>'Annexure -II'!L23</f>
        <v>360</v>
      </c>
      <c r="K6" s="233">
        <f t="shared" si="0"/>
        <v>360</v>
      </c>
      <c r="L6" s="133"/>
      <c r="M6" s="227"/>
      <c r="N6" s="65"/>
      <c r="O6" s="65"/>
      <c r="P6" s="65"/>
      <c r="Q6" s="65"/>
      <c r="R6" s="65"/>
      <c r="S6" s="65"/>
      <c r="T6" s="65"/>
      <c r="U6" s="65"/>
      <c r="V6" s="65"/>
      <c r="W6" s="65"/>
      <c r="X6" s="65"/>
      <c r="Y6" s="65"/>
      <c r="Z6" s="65"/>
      <c r="AA6" s="65"/>
      <c r="AB6" s="59"/>
      <c r="AD6" s="91"/>
      <c r="AE6" s="86"/>
      <c r="AF6" s="86"/>
      <c r="AG6" s="87"/>
      <c r="AI6" s="70"/>
    </row>
    <row r="7" spans="2:35" ht="15" customHeight="1">
      <c r="B7" s="229"/>
      <c r="C7" s="784" t="str">
        <f>'Annexure -II'!D24</f>
        <v>Donation of Charitable Institution</v>
      </c>
      <c r="D7" s="785"/>
      <c r="E7" s="785"/>
      <c r="F7" s="785"/>
      <c r="G7" s="785"/>
      <c r="H7" s="230" t="s">
        <v>222</v>
      </c>
      <c r="I7" s="235">
        <v>0</v>
      </c>
      <c r="J7" s="231">
        <f>'Annexure -II'!L24</f>
        <v>0</v>
      </c>
      <c r="K7" s="233">
        <f t="shared" si="0"/>
        <v>0</v>
      </c>
      <c r="L7" s="133"/>
      <c r="M7" s="227"/>
      <c r="N7" s="65"/>
      <c r="O7" s="65"/>
      <c r="P7" s="65"/>
      <c r="Q7" s="65"/>
      <c r="R7" s="65"/>
      <c r="S7" s="65"/>
      <c r="T7" s="65"/>
      <c r="U7" s="65"/>
      <c r="V7" s="65"/>
      <c r="W7" s="65"/>
      <c r="X7" s="65"/>
      <c r="Y7" s="65"/>
      <c r="Z7" s="65"/>
      <c r="AA7" s="65"/>
      <c r="AB7" s="59"/>
      <c r="AD7" s="91"/>
      <c r="AE7" s="86"/>
      <c r="AF7" s="86"/>
      <c r="AG7" s="87"/>
      <c r="AI7" s="70"/>
    </row>
    <row r="8" spans="2:35" ht="15" customHeight="1">
      <c r="B8" s="229"/>
      <c r="C8" s="784" t="str">
        <f>'Annexure -II'!D25</f>
        <v>Interest on Educational Loan</v>
      </c>
      <c r="D8" s="785"/>
      <c r="E8" s="785"/>
      <c r="F8" s="785"/>
      <c r="G8" s="785"/>
      <c r="H8" s="230" t="s">
        <v>222</v>
      </c>
      <c r="I8" s="235">
        <f>DATA!M18</f>
        <v>0</v>
      </c>
      <c r="J8" s="231">
        <f>'Annexure -II'!L25</f>
        <v>0</v>
      </c>
      <c r="K8" s="233">
        <f t="shared" si="0"/>
        <v>0</v>
      </c>
      <c r="L8" s="133"/>
      <c r="M8" s="227"/>
      <c r="N8" s="65"/>
      <c r="O8" s="65"/>
      <c r="P8" s="65"/>
      <c r="Q8" s="65"/>
      <c r="R8" s="65"/>
      <c r="S8" s="65"/>
      <c r="T8" s="65"/>
      <c r="U8" s="65"/>
      <c r="V8" s="65"/>
      <c r="W8" s="65"/>
      <c r="X8" s="65"/>
      <c r="Y8" s="65"/>
      <c r="Z8" s="65"/>
      <c r="AA8" s="65"/>
      <c r="AB8" s="59"/>
      <c r="AD8" s="91"/>
      <c r="AE8" s="86"/>
      <c r="AF8" s="86"/>
      <c r="AG8" s="87"/>
      <c r="AI8" s="70"/>
    </row>
    <row r="9" spans="2:35" ht="15" customHeight="1">
      <c r="B9" s="229"/>
      <c r="C9" s="784" t="str">
        <f>'Annexure -II'!D26</f>
        <v>Interest on Housing Loan Advance</v>
      </c>
      <c r="D9" s="785"/>
      <c r="E9" s="785"/>
      <c r="F9" s="785"/>
      <c r="G9" s="785"/>
      <c r="H9" s="230" t="s">
        <v>222</v>
      </c>
      <c r="I9" s="235">
        <f>DATA!M19</f>
        <v>0</v>
      </c>
      <c r="J9" s="231">
        <f>'Annexure -II'!L26</f>
        <v>0</v>
      </c>
      <c r="K9" s="233">
        <f t="shared" si="0"/>
        <v>0</v>
      </c>
      <c r="L9" s="133"/>
      <c r="M9" s="227"/>
      <c r="N9" s="65"/>
      <c r="O9" s="65"/>
      <c r="P9" s="65"/>
      <c r="Q9" s="65"/>
      <c r="R9" s="65"/>
      <c r="S9" s="65"/>
      <c r="T9" s="65"/>
      <c r="U9" s="65"/>
      <c r="V9" s="65"/>
      <c r="W9" s="65"/>
      <c r="X9" s="65"/>
      <c r="Y9" s="65"/>
      <c r="Z9" s="65"/>
      <c r="AA9" s="65"/>
      <c r="AB9" s="59"/>
      <c r="AD9" s="91"/>
      <c r="AE9" s="86"/>
      <c r="AF9" s="86"/>
      <c r="AG9" s="87"/>
      <c r="AI9" s="70"/>
    </row>
    <row r="10" spans="2:35" ht="15" customHeight="1">
      <c r="B10" s="229"/>
      <c r="C10" s="784" t="str">
        <f>'Annexure -II'!D27</f>
        <v>Medical treatment of Handicapped/Dependent</v>
      </c>
      <c r="D10" s="785"/>
      <c r="E10" s="785"/>
      <c r="F10" s="785"/>
      <c r="G10" s="785"/>
      <c r="H10" s="230" t="s">
        <v>222</v>
      </c>
      <c r="I10" s="235">
        <f>DATA!M20</f>
        <v>0</v>
      </c>
      <c r="J10" s="231">
        <f>'Annexure -II'!L27</f>
        <v>0</v>
      </c>
      <c r="K10" s="233">
        <f t="shared" si="0"/>
        <v>0</v>
      </c>
      <c r="L10" s="133"/>
      <c r="M10" s="227"/>
      <c r="N10" s="65"/>
      <c r="O10" s="65"/>
      <c r="P10" s="65"/>
      <c r="Q10" s="65"/>
      <c r="R10" s="65"/>
      <c r="S10" s="65"/>
      <c r="T10" s="65"/>
      <c r="U10" s="65"/>
      <c r="V10" s="65"/>
      <c r="W10" s="65"/>
      <c r="X10" s="65"/>
      <c r="Y10" s="65"/>
      <c r="Z10" s="65"/>
      <c r="AA10" s="65"/>
      <c r="AB10" s="59"/>
      <c r="AD10" s="91"/>
      <c r="AE10" s="86"/>
      <c r="AF10" s="86"/>
      <c r="AG10" s="87"/>
      <c r="AI10" s="70"/>
    </row>
    <row r="11" spans="2:35" ht="15" customHeight="1">
      <c r="B11" s="229"/>
      <c r="C11" s="784">
        <f>'Annexure -II'!D28</f>
      </c>
      <c r="D11" s="785"/>
      <c r="E11" s="785"/>
      <c r="F11" s="785"/>
      <c r="G11" s="785"/>
      <c r="H11" s="230" t="s">
        <v>222</v>
      </c>
      <c r="I11" s="235">
        <f>DATA!M21</f>
        <v>0</v>
      </c>
      <c r="J11" s="231">
        <f>'Annexure -II'!L28</f>
        <v>0</v>
      </c>
      <c r="K11" s="233">
        <f t="shared" si="0"/>
        <v>0</v>
      </c>
      <c r="L11" s="133"/>
      <c r="M11" s="227"/>
      <c r="N11" s="65"/>
      <c r="O11" s="65"/>
      <c r="P11" s="65"/>
      <c r="Q11" s="65"/>
      <c r="R11" s="65"/>
      <c r="S11" s="65"/>
      <c r="T11" s="65"/>
      <c r="U11" s="65"/>
      <c r="V11" s="65"/>
      <c r="W11" s="65"/>
      <c r="X11" s="65"/>
      <c r="Y11" s="65"/>
      <c r="Z11" s="65"/>
      <c r="AA11" s="65"/>
      <c r="AB11" s="59"/>
      <c r="AD11" s="91"/>
      <c r="AE11" s="86"/>
      <c r="AF11" s="86"/>
      <c r="AG11" s="87"/>
      <c r="AI11" s="70"/>
    </row>
    <row r="12" spans="2:35" ht="15.75" customHeight="1">
      <c r="B12" s="225"/>
      <c r="C12" s="133"/>
      <c r="D12" s="133"/>
      <c r="E12" s="133"/>
      <c r="F12" s="133"/>
      <c r="G12" s="157" t="s">
        <v>355</v>
      </c>
      <c r="H12" s="157"/>
      <c r="I12" s="157"/>
      <c r="J12" s="236"/>
      <c r="K12" s="237"/>
      <c r="L12" s="238" t="s">
        <v>222</v>
      </c>
      <c r="M12" s="239">
        <f>SUM(K4:K11)</f>
        <v>2042</v>
      </c>
      <c r="N12" s="83"/>
      <c r="O12" s="83"/>
      <c r="P12" s="83"/>
      <c r="Q12" s="83"/>
      <c r="R12" s="83"/>
      <c r="S12" s="83"/>
      <c r="T12" s="83"/>
      <c r="U12" s="83"/>
      <c r="V12" s="83"/>
      <c r="W12" s="83"/>
      <c r="X12" s="83"/>
      <c r="Y12" s="83"/>
      <c r="Z12" s="83"/>
      <c r="AA12" s="83"/>
      <c r="AB12" s="89"/>
      <c r="AD12" s="91"/>
      <c r="AE12" s="86"/>
      <c r="AF12" s="86"/>
      <c r="AG12" s="87"/>
      <c r="AI12" s="70"/>
    </row>
    <row r="13" spans="2:33" ht="15.75">
      <c r="B13" s="225">
        <v>10</v>
      </c>
      <c r="C13" s="664" t="s">
        <v>519</v>
      </c>
      <c r="D13" s="665"/>
      <c r="E13" s="665"/>
      <c r="F13" s="665"/>
      <c r="G13" s="665"/>
      <c r="H13" s="665"/>
      <c r="I13" s="819"/>
      <c r="J13" s="240"/>
      <c r="K13" s="241"/>
      <c r="L13" s="242" t="s">
        <v>222</v>
      </c>
      <c r="M13" s="243">
        <f>'Form 16 Page1'!N59+'Form 16 Page1'!N60+'Form 16 Page2'!M12</f>
        <v>34648</v>
      </c>
      <c r="N13" s="244"/>
      <c r="O13" s="244"/>
      <c r="P13" s="244"/>
      <c r="Q13" s="244"/>
      <c r="R13" s="244"/>
      <c r="S13" s="244"/>
      <c r="T13" s="244"/>
      <c r="U13" s="244"/>
      <c r="V13" s="244"/>
      <c r="W13" s="244"/>
      <c r="X13" s="244"/>
      <c r="Y13" s="244"/>
      <c r="Z13" s="244"/>
      <c r="AA13" s="244"/>
      <c r="AB13" s="75"/>
      <c r="AD13" s="91"/>
      <c r="AE13" s="86"/>
      <c r="AF13" s="86"/>
      <c r="AG13" s="87"/>
    </row>
    <row r="14" spans="2:33" ht="4.5" customHeight="1">
      <c r="B14" s="225"/>
      <c r="C14" s="133"/>
      <c r="D14" s="133"/>
      <c r="E14" s="133"/>
      <c r="F14" s="133"/>
      <c r="G14" s="133"/>
      <c r="H14" s="133"/>
      <c r="I14" s="133"/>
      <c r="J14" s="240"/>
      <c r="K14" s="241"/>
      <c r="L14" s="98"/>
      <c r="M14" s="245"/>
      <c r="N14" s="65"/>
      <c r="O14" s="65"/>
      <c r="P14" s="65"/>
      <c r="Q14" s="65"/>
      <c r="R14" s="65"/>
      <c r="S14" s="65"/>
      <c r="T14" s="65"/>
      <c r="U14" s="65"/>
      <c r="V14" s="65"/>
      <c r="W14" s="65"/>
      <c r="X14" s="65"/>
      <c r="Y14" s="65"/>
      <c r="Z14" s="65"/>
      <c r="AA14" s="65"/>
      <c r="AB14" s="59"/>
      <c r="AD14" s="91"/>
      <c r="AE14" s="86"/>
      <c r="AF14" s="86"/>
      <c r="AG14" s="87"/>
    </row>
    <row r="15" spans="2:33" ht="15.75">
      <c r="B15" s="225">
        <v>11</v>
      </c>
      <c r="C15" s="662" t="s">
        <v>356</v>
      </c>
      <c r="D15" s="662"/>
      <c r="E15" s="662"/>
      <c r="F15" s="662"/>
      <c r="G15" s="662"/>
      <c r="H15" s="662"/>
      <c r="I15" s="662"/>
      <c r="J15" s="240"/>
      <c r="K15" s="241"/>
      <c r="L15" s="98" t="s">
        <v>222</v>
      </c>
      <c r="M15" s="246">
        <f>ROUND(('Form 16 Page1'!N39-'Form 16 Page2'!M13),-1)</f>
        <v>365390</v>
      </c>
      <c r="N15" s="247"/>
      <c r="O15" s="247"/>
      <c r="P15" s="247"/>
      <c r="Q15" s="247"/>
      <c r="R15" s="247"/>
      <c r="S15" s="247"/>
      <c r="T15" s="247"/>
      <c r="U15" s="247"/>
      <c r="V15" s="247"/>
      <c r="W15" s="247"/>
      <c r="X15" s="247"/>
      <c r="Y15" s="247"/>
      <c r="Z15" s="247"/>
      <c r="AA15" s="247"/>
      <c r="AB15" s="90"/>
      <c r="AD15" s="91"/>
      <c r="AE15" s="86"/>
      <c r="AF15" s="86"/>
      <c r="AG15" s="87"/>
    </row>
    <row r="16" spans="2:36" ht="15">
      <c r="B16" s="225">
        <v>12</v>
      </c>
      <c r="C16" s="662" t="s">
        <v>357</v>
      </c>
      <c r="D16" s="662"/>
      <c r="E16" s="662"/>
      <c r="F16" s="662"/>
      <c r="G16" s="662"/>
      <c r="H16" s="662"/>
      <c r="I16" s="662"/>
      <c r="J16" s="240"/>
      <c r="K16" s="241"/>
      <c r="L16" s="248" t="s">
        <v>222</v>
      </c>
      <c r="M16" s="249">
        <f>'Annexure -II'!M55-'Annexure -II'!M53-'Annexure -II'!M54</f>
        <v>9539</v>
      </c>
      <c r="N16" s="65"/>
      <c r="O16" s="65"/>
      <c r="P16" s="65"/>
      <c r="Q16" s="65"/>
      <c r="R16" s="65"/>
      <c r="S16" s="65"/>
      <c r="T16" s="65"/>
      <c r="U16" s="65"/>
      <c r="V16" s="65"/>
      <c r="W16" s="65"/>
      <c r="X16" s="65"/>
      <c r="Y16" s="65"/>
      <c r="Z16" s="65"/>
      <c r="AA16" s="65"/>
      <c r="AB16" s="59"/>
      <c r="AD16" s="91"/>
      <c r="AE16" s="86"/>
      <c r="AF16" s="86"/>
      <c r="AG16" s="87"/>
      <c r="AJ16" s="64"/>
    </row>
    <row r="17" spans="2:36" ht="15.75" customHeight="1">
      <c r="B17" s="225">
        <v>13</v>
      </c>
      <c r="C17" s="666" t="s">
        <v>358</v>
      </c>
      <c r="D17" s="666"/>
      <c r="E17" s="666"/>
      <c r="F17" s="666"/>
      <c r="G17" s="666"/>
      <c r="H17" s="666"/>
      <c r="I17" s="666"/>
      <c r="J17" s="240"/>
      <c r="K17" s="241"/>
      <c r="L17" s="248" t="s">
        <v>222</v>
      </c>
      <c r="M17" s="249">
        <f>ROUND(M16*1%,0)</f>
        <v>95</v>
      </c>
      <c r="N17" s="63"/>
      <c r="O17" s="63"/>
      <c r="P17" s="63"/>
      <c r="Q17" s="63"/>
      <c r="R17" s="63"/>
      <c r="S17" s="63"/>
      <c r="T17" s="63"/>
      <c r="U17" s="63"/>
      <c r="V17" s="63"/>
      <c r="W17" s="63"/>
      <c r="X17" s="63"/>
      <c r="Y17" s="63"/>
      <c r="Z17" s="63"/>
      <c r="AA17" s="63"/>
      <c r="AB17" s="74"/>
      <c r="AD17" s="91"/>
      <c r="AE17" s="86"/>
      <c r="AF17" s="86"/>
      <c r="AG17" s="87"/>
      <c r="AJ17" s="64"/>
    </row>
    <row r="18" spans="2:36" ht="15.75" customHeight="1">
      <c r="B18" s="225">
        <v>14</v>
      </c>
      <c r="C18" s="666" t="s">
        <v>359</v>
      </c>
      <c r="D18" s="666"/>
      <c r="E18" s="666"/>
      <c r="F18" s="666"/>
      <c r="G18" s="666"/>
      <c r="H18" s="666"/>
      <c r="I18" s="666"/>
      <c r="J18" s="240"/>
      <c r="K18" s="241"/>
      <c r="L18" s="248" t="s">
        <v>222</v>
      </c>
      <c r="M18" s="249">
        <f>ROUND(M16*2%,0)</f>
        <v>191</v>
      </c>
      <c r="N18" s="63"/>
      <c r="O18" s="63"/>
      <c r="P18" s="63"/>
      <c r="Q18" s="63"/>
      <c r="R18" s="63"/>
      <c r="S18" s="63"/>
      <c r="T18" s="63"/>
      <c r="U18" s="63"/>
      <c r="V18" s="63"/>
      <c r="W18" s="63"/>
      <c r="X18" s="63"/>
      <c r="Y18" s="63"/>
      <c r="Z18" s="63"/>
      <c r="AA18" s="63"/>
      <c r="AB18" s="74"/>
      <c r="AD18" s="91">
        <v>100000</v>
      </c>
      <c r="AE18" s="86"/>
      <c r="AF18" s="86"/>
      <c r="AG18" s="87"/>
      <c r="AJ18" s="64"/>
    </row>
    <row r="19" spans="2:36" ht="15.75">
      <c r="B19" s="225">
        <v>15</v>
      </c>
      <c r="C19" s="662" t="s">
        <v>360</v>
      </c>
      <c r="D19" s="662"/>
      <c r="E19" s="662"/>
      <c r="F19" s="662"/>
      <c r="G19" s="662"/>
      <c r="H19" s="662"/>
      <c r="I19" s="662"/>
      <c r="J19" s="240"/>
      <c r="K19" s="241"/>
      <c r="L19" s="248" t="s">
        <v>222</v>
      </c>
      <c r="M19" s="140">
        <f>SUM(M16:M18)</f>
        <v>9825</v>
      </c>
      <c r="N19" s="244"/>
      <c r="O19" s="244"/>
      <c r="P19" s="244"/>
      <c r="Q19" s="244"/>
      <c r="R19" s="244"/>
      <c r="S19" s="244"/>
      <c r="T19" s="244"/>
      <c r="U19" s="244"/>
      <c r="V19" s="244"/>
      <c r="W19" s="244"/>
      <c r="X19" s="244"/>
      <c r="Y19" s="244"/>
      <c r="Z19" s="244"/>
      <c r="AA19" s="244"/>
      <c r="AB19" s="73"/>
      <c r="AE19" s="86"/>
      <c r="AF19" s="86"/>
      <c r="AG19" s="87"/>
      <c r="AJ19" s="64"/>
    </row>
    <row r="20" spans="2:36" ht="15.75" customHeight="1">
      <c r="B20" s="225">
        <v>16</v>
      </c>
      <c r="C20" s="666" t="s">
        <v>361</v>
      </c>
      <c r="D20" s="666"/>
      <c r="E20" s="666"/>
      <c r="F20" s="666"/>
      <c r="G20" s="666"/>
      <c r="H20" s="666"/>
      <c r="I20" s="666"/>
      <c r="J20" s="240"/>
      <c r="K20" s="241"/>
      <c r="L20" s="248" t="s">
        <v>222</v>
      </c>
      <c r="M20" s="249">
        <v>0</v>
      </c>
      <c r="N20" s="65"/>
      <c r="O20" s="65"/>
      <c r="P20" s="65"/>
      <c r="Q20" s="65"/>
      <c r="R20" s="65"/>
      <c r="S20" s="65"/>
      <c r="T20" s="65"/>
      <c r="U20" s="65"/>
      <c r="V20" s="65"/>
      <c r="W20" s="65"/>
      <c r="X20" s="65"/>
      <c r="Y20" s="65"/>
      <c r="Z20" s="65"/>
      <c r="AA20" s="65"/>
      <c r="AB20" s="59"/>
      <c r="AE20" s="86"/>
      <c r="AF20" s="86"/>
      <c r="AJ20" s="64"/>
    </row>
    <row r="21" spans="2:36" ht="15.75">
      <c r="B21" s="225">
        <v>17</v>
      </c>
      <c r="C21" s="662" t="s">
        <v>362</v>
      </c>
      <c r="D21" s="662"/>
      <c r="E21" s="662"/>
      <c r="F21" s="662"/>
      <c r="G21" s="662"/>
      <c r="H21" s="662"/>
      <c r="I21" s="662"/>
      <c r="J21" s="240"/>
      <c r="K21" s="241"/>
      <c r="L21" s="248" t="s">
        <v>222</v>
      </c>
      <c r="M21" s="140">
        <f>M19-M20</f>
        <v>9825</v>
      </c>
      <c r="N21" s="244"/>
      <c r="O21" s="244"/>
      <c r="P21" s="244"/>
      <c r="Q21" s="244"/>
      <c r="R21" s="244"/>
      <c r="S21" s="244"/>
      <c r="T21" s="244"/>
      <c r="U21" s="244"/>
      <c r="V21" s="244"/>
      <c r="W21" s="244"/>
      <c r="X21" s="244"/>
      <c r="Y21" s="244"/>
      <c r="Z21" s="244"/>
      <c r="AA21" s="244"/>
      <c r="AB21" s="73"/>
      <c r="AJ21" s="64"/>
    </row>
    <row r="22" spans="2:36" ht="15.75" customHeight="1">
      <c r="B22" s="225">
        <v>18</v>
      </c>
      <c r="C22" s="665" t="s">
        <v>363</v>
      </c>
      <c r="D22" s="666"/>
      <c r="E22" s="666"/>
      <c r="F22" s="666"/>
      <c r="G22" s="666"/>
      <c r="H22" s="666"/>
      <c r="I22" s="666"/>
      <c r="J22" s="240"/>
      <c r="K22" s="241"/>
      <c r="L22" s="248" t="s">
        <v>222</v>
      </c>
      <c r="M22" s="249">
        <v>0</v>
      </c>
      <c r="N22" s="65"/>
      <c r="O22" s="65"/>
      <c r="P22" s="65"/>
      <c r="Q22" s="65"/>
      <c r="R22" s="65"/>
      <c r="S22" s="65"/>
      <c r="T22" s="65"/>
      <c r="U22" s="65"/>
      <c r="V22" s="65"/>
      <c r="W22" s="65"/>
      <c r="X22" s="65"/>
      <c r="Y22" s="65"/>
      <c r="Z22" s="65"/>
      <c r="AA22" s="65"/>
      <c r="AB22" s="59"/>
      <c r="AJ22" s="64"/>
    </row>
    <row r="23" spans="2:36" ht="15.75" customHeight="1">
      <c r="B23" s="225"/>
      <c r="C23" s="119"/>
      <c r="D23" s="692" t="s">
        <v>364</v>
      </c>
      <c r="E23" s="692"/>
      <c r="F23" s="692"/>
      <c r="G23" s="692"/>
      <c r="H23" s="692"/>
      <c r="I23" s="692"/>
      <c r="J23" s="240"/>
      <c r="K23" s="241"/>
      <c r="L23" s="248" t="s">
        <v>222</v>
      </c>
      <c r="M23" s="249"/>
      <c r="N23" s="65"/>
      <c r="O23" s="65"/>
      <c r="P23" s="65"/>
      <c r="Q23" s="65"/>
      <c r="R23" s="65"/>
      <c r="S23" s="65"/>
      <c r="T23" s="65"/>
      <c r="U23" s="65"/>
      <c r="V23" s="65"/>
      <c r="W23" s="65"/>
      <c r="X23" s="65"/>
      <c r="Y23" s="65"/>
      <c r="Z23" s="65"/>
      <c r="AA23" s="65"/>
      <c r="AB23" s="59"/>
      <c r="AJ23" s="64"/>
    </row>
    <row r="24" spans="2:36" ht="15.75" customHeight="1">
      <c r="B24" s="225"/>
      <c r="C24" s="119"/>
      <c r="D24" s="666" t="s">
        <v>365</v>
      </c>
      <c r="E24" s="666"/>
      <c r="F24" s="666"/>
      <c r="G24" s="666"/>
      <c r="H24" s="666"/>
      <c r="I24" s="666"/>
      <c r="J24" s="240"/>
      <c r="K24" s="241"/>
      <c r="L24" s="248" t="s">
        <v>222</v>
      </c>
      <c r="M24" s="461">
        <f>'Annexure -II'!H60</f>
        <v>0</v>
      </c>
      <c r="N24" s="65"/>
      <c r="O24" s="65"/>
      <c r="P24" s="65"/>
      <c r="Q24" s="65"/>
      <c r="R24" s="65"/>
      <c r="S24" s="65"/>
      <c r="T24" s="65"/>
      <c r="U24" s="65"/>
      <c r="V24" s="65"/>
      <c r="W24" s="65"/>
      <c r="X24" s="65"/>
      <c r="Y24" s="65"/>
      <c r="Z24" s="65"/>
      <c r="AA24" s="65"/>
      <c r="AB24" s="59"/>
      <c r="AJ24" s="64"/>
    </row>
    <row r="25" spans="2:36" ht="15.75">
      <c r="B25" s="250">
        <v>19</v>
      </c>
      <c r="C25" s="811" t="s">
        <v>366</v>
      </c>
      <c r="D25" s="811"/>
      <c r="E25" s="811"/>
      <c r="F25" s="811"/>
      <c r="G25" s="811"/>
      <c r="H25" s="251"/>
      <c r="I25" s="158"/>
      <c r="J25" s="252"/>
      <c r="K25" s="253"/>
      <c r="L25" s="165" t="s">
        <v>222</v>
      </c>
      <c r="M25" s="175">
        <f>(M21-(M22))</f>
        <v>9825</v>
      </c>
      <c r="N25" s="244"/>
      <c r="O25" s="244"/>
      <c r="P25" s="244"/>
      <c r="Q25" s="244"/>
      <c r="R25" s="244"/>
      <c r="S25" s="244"/>
      <c r="T25" s="244"/>
      <c r="U25" s="244"/>
      <c r="V25" s="244"/>
      <c r="W25" s="244"/>
      <c r="X25" s="244"/>
      <c r="Y25" s="244"/>
      <c r="Z25" s="244"/>
      <c r="AA25" s="244"/>
      <c r="AB25" s="75"/>
      <c r="AJ25" s="64"/>
    </row>
    <row r="26" spans="2:36" ht="5.25" customHeight="1">
      <c r="B26" s="254"/>
      <c r="C26" s="255"/>
      <c r="D26" s="255"/>
      <c r="E26" s="255"/>
      <c r="F26" s="255"/>
      <c r="G26" s="255"/>
      <c r="H26" s="255"/>
      <c r="I26" s="255"/>
      <c r="J26" s="256"/>
      <c r="K26" s="257"/>
      <c r="L26" s="255"/>
      <c r="M26" s="258"/>
      <c r="N26" s="65"/>
      <c r="O26" s="65"/>
      <c r="P26" s="65"/>
      <c r="Q26" s="65"/>
      <c r="R26" s="65"/>
      <c r="S26" s="65"/>
      <c r="T26" s="65"/>
      <c r="U26" s="65"/>
      <c r="V26" s="65"/>
      <c r="W26" s="65"/>
      <c r="X26" s="65"/>
      <c r="Y26" s="65"/>
      <c r="Z26" s="65"/>
      <c r="AA26" s="65"/>
      <c r="AB26" s="59"/>
      <c r="AJ26" s="64"/>
    </row>
    <row r="27" spans="2:36" ht="3" customHeight="1">
      <c r="B27" s="259"/>
      <c r="C27" s="133"/>
      <c r="D27" s="133"/>
      <c r="E27" s="133"/>
      <c r="F27" s="133"/>
      <c r="G27" s="133"/>
      <c r="H27" s="133"/>
      <c r="I27" s="133"/>
      <c r="J27" s="133"/>
      <c r="K27" s="133"/>
      <c r="L27" s="133"/>
      <c r="M27" s="260"/>
      <c r="N27" s="65"/>
      <c r="O27" s="65"/>
      <c r="P27" s="65"/>
      <c r="Q27" s="65"/>
      <c r="R27" s="65"/>
      <c r="S27" s="65"/>
      <c r="T27" s="65"/>
      <c r="U27" s="65"/>
      <c r="V27" s="65"/>
      <c r="W27" s="65"/>
      <c r="X27" s="65"/>
      <c r="Y27" s="65"/>
      <c r="Z27" s="65"/>
      <c r="AA27" s="65"/>
      <c r="AB27" s="59"/>
      <c r="AC27" s="59"/>
      <c r="AJ27" s="64"/>
    </row>
    <row r="28" spans="2:37" ht="15.75" customHeight="1">
      <c r="B28" s="812" t="s">
        <v>367</v>
      </c>
      <c r="C28" s="813"/>
      <c r="D28" s="813"/>
      <c r="E28" s="813"/>
      <c r="F28" s="813"/>
      <c r="G28" s="813"/>
      <c r="H28" s="813"/>
      <c r="I28" s="813"/>
      <c r="J28" s="813"/>
      <c r="K28" s="813"/>
      <c r="L28" s="813"/>
      <c r="M28" s="814"/>
      <c r="N28" s="261"/>
      <c r="O28" s="261"/>
      <c r="P28" s="261"/>
      <c r="Q28" s="261"/>
      <c r="R28" s="261"/>
      <c r="S28" s="261"/>
      <c r="T28" s="261"/>
      <c r="U28" s="261"/>
      <c r="V28" s="261"/>
      <c r="W28" s="261"/>
      <c r="X28" s="261"/>
      <c r="Y28" s="261"/>
      <c r="Z28" s="261"/>
      <c r="AA28" s="261"/>
      <c r="AB28" s="92"/>
      <c r="AC28" s="68"/>
      <c r="AD28" s="68"/>
      <c r="AE28" s="68"/>
      <c r="AF28" s="68"/>
      <c r="AG28" s="68"/>
      <c r="AH28" s="68"/>
      <c r="AJ28" s="64"/>
      <c r="AK28" s="68"/>
    </row>
    <row r="29" spans="2:37" ht="12.75" customHeight="1">
      <c r="B29" s="712" t="s">
        <v>368</v>
      </c>
      <c r="C29" s="713"/>
      <c r="D29" s="713"/>
      <c r="E29" s="713"/>
      <c r="F29" s="713"/>
      <c r="G29" s="713"/>
      <c r="H29" s="713"/>
      <c r="I29" s="713"/>
      <c r="J29" s="713"/>
      <c r="K29" s="713"/>
      <c r="L29" s="713"/>
      <c r="M29" s="726"/>
      <c r="N29" s="61"/>
      <c r="O29" s="61"/>
      <c r="P29" s="61"/>
      <c r="Q29" s="61"/>
      <c r="R29" s="61"/>
      <c r="S29" s="61"/>
      <c r="T29" s="61"/>
      <c r="U29" s="61"/>
      <c r="V29" s="61"/>
      <c r="W29" s="61"/>
      <c r="X29" s="61"/>
      <c r="Y29" s="61"/>
      <c r="Z29" s="61"/>
      <c r="AA29" s="61"/>
      <c r="AB29" s="60"/>
      <c r="AC29" s="65"/>
      <c r="AD29" s="65"/>
      <c r="AE29" s="65"/>
      <c r="AF29" s="65"/>
      <c r="AG29" s="65"/>
      <c r="AH29" s="65"/>
      <c r="AJ29" s="64"/>
      <c r="AK29" s="65"/>
    </row>
    <row r="30" spans="2:36" ht="3" customHeight="1">
      <c r="B30" s="259"/>
      <c r="C30" s="133"/>
      <c r="D30" s="133"/>
      <c r="E30" s="133"/>
      <c r="F30" s="133"/>
      <c r="G30" s="133"/>
      <c r="H30" s="133"/>
      <c r="I30" s="133"/>
      <c r="J30" s="133"/>
      <c r="K30" s="133"/>
      <c r="L30" s="133"/>
      <c r="M30" s="260"/>
      <c r="N30" s="65"/>
      <c r="O30" s="65"/>
      <c r="P30" s="65"/>
      <c r="Q30" s="65"/>
      <c r="R30" s="65"/>
      <c r="S30" s="65"/>
      <c r="T30" s="65"/>
      <c r="U30" s="65"/>
      <c r="V30" s="65"/>
      <c r="W30" s="65"/>
      <c r="X30" s="65"/>
      <c r="Y30" s="65"/>
      <c r="Z30" s="65"/>
      <c r="AA30" s="65"/>
      <c r="AB30" s="59"/>
      <c r="AC30" s="59"/>
      <c r="AJ30" s="64"/>
    </row>
    <row r="31" spans="2:36" ht="15.75" customHeight="1">
      <c r="B31" s="262" t="s">
        <v>369</v>
      </c>
      <c r="C31" s="799" t="s">
        <v>370</v>
      </c>
      <c r="D31" s="707"/>
      <c r="E31" s="264" t="s">
        <v>371</v>
      </c>
      <c r="F31" s="263" t="s">
        <v>372</v>
      </c>
      <c r="G31" s="263" t="s">
        <v>373</v>
      </c>
      <c r="H31" s="799" t="s">
        <v>374</v>
      </c>
      <c r="I31" s="810"/>
      <c r="J31" s="265" t="s">
        <v>375</v>
      </c>
      <c r="K31" s="265" t="s">
        <v>376</v>
      </c>
      <c r="L31" s="800" t="s">
        <v>377</v>
      </c>
      <c r="M31" s="801"/>
      <c r="N31" s="93"/>
      <c r="O31" s="93"/>
      <c r="P31" s="93"/>
      <c r="Q31" s="93"/>
      <c r="R31" s="93"/>
      <c r="S31" s="93"/>
      <c r="T31" s="93"/>
      <c r="U31" s="93"/>
      <c r="V31" s="93"/>
      <c r="W31" s="93"/>
      <c r="X31" s="93"/>
      <c r="Y31" s="93"/>
      <c r="Z31" s="93"/>
      <c r="AA31" s="93"/>
      <c r="AB31" s="93"/>
      <c r="AJ31" s="64"/>
    </row>
    <row r="32" spans="2:36" ht="15.75" customHeight="1">
      <c r="B32" s="266" t="s">
        <v>378</v>
      </c>
      <c r="C32" s="789" t="s">
        <v>222</v>
      </c>
      <c r="D32" s="790"/>
      <c r="E32" s="268" t="s">
        <v>222</v>
      </c>
      <c r="F32" s="267" t="s">
        <v>379</v>
      </c>
      <c r="G32" s="267" t="s">
        <v>380</v>
      </c>
      <c r="H32" s="789" t="s">
        <v>381</v>
      </c>
      <c r="I32" s="809"/>
      <c r="J32" s="269" t="s">
        <v>382</v>
      </c>
      <c r="K32" s="269" t="s">
        <v>383</v>
      </c>
      <c r="L32" s="807" t="s">
        <v>384</v>
      </c>
      <c r="M32" s="808"/>
      <c r="N32" s="93"/>
      <c r="O32" s="93"/>
      <c r="P32" s="93"/>
      <c r="Q32" s="93"/>
      <c r="R32" s="93"/>
      <c r="S32" s="93"/>
      <c r="T32" s="93"/>
      <c r="U32" s="93"/>
      <c r="V32" s="93"/>
      <c r="W32" s="93"/>
      <c r="X32" s="93"/>
      <c r="Y32" s="93"/>
      <c r="Z32" s="93"/>
      <c r="AA32" s="93"/>
      <c r="AB32" s="93"/>
      <c r="AD32" s="91"/>
      <c r="AE32" s="86"/>
      <c r="AF32" s="86"/>
      <c r="AG32" s="87"/>
      <c r="AJ32" s="64"/>
    </row>
    <row r="33" spans="2:36" ht="15.75" customHeight="1">
      <c r="B33" s="270"/>
      <c r="C33" s="802"/>
      <c r="D33" s="803"/>
      <c r="E33" s="271"/>
      <c r="F33" s="271" t="s">
        <v>222</v>
      </c>
      <c r="G33" s="271" t="s">
        <v>222</v>
      </c>
      <c r="H33" s="802"/>
      <c r="I33" s="804"/>
      <c r="J33" s="273" t="s">
        <v>385</v>
      </c>
      <c r="K33" s="273" t="s">
        <v>380</v>
      </c>
      <c r="L33" s="805" t="s">
        <v>386</v>
      </c>
      <c r="M33" s="806"/>
      <c r="N33" s="93"/>
      <c r="O33" s="93"/>
      <c r="P33" s="93"/>
      <c r="Q33" s="93"/>
      <c r="R33" s="93"/>
      <c r="S33" s="93"/>
      <c r="T33" s="93"/>
      <c r="U33" s="93"/>
      <c r="V33" s="93"/>
      <c r="W33" s="93"/>
      <c r="X33" s="93"/>
      <c r="Y33" s="93"/>
      <c r="Z33" s="93"/>
      <c r="AA33" s="93"/>
      <c r="AB33" s="93"/>
      <c r="AD33" s="91"/>
      <c r="AE33" s="86"/>
      <c r="AF33" s="86"/>
      <c r="AG33" s="87"/>
      <c r="AJ33" s="70"/>
    </row>
    <row r="34" spans="2:36" ht="15.75" customHeight="1">
      <c r="B34" s="275">
        <v>1</v>
      </c>
      <c r="C34" s="271"/>
      <c r="D34" s="272"/>
      <c r="E34" s="271"/>
      <c r="F34" s="271"/>
      <c r="G34" s="271"/>
      <c r="H34" s="271"/>
      <c r="I34" s="273"/>
      <c r="J34" s="273"/>
      <c r="K34" s="273"/>
      <c r="L34" s="271"/>
      <c r="M34" s="274"/>
      <c r="N34" s="93"/>
      <c r="O34" s="93"/>
      <c r="P34" s="93"/>
      <c r="Q34" s="93"/>
      <c r="R34" s="93"/>
      <c r="S34" s="93"/>
      <c r="T34" s="93"/>
      <c r="U34" s="93"/>
      <c r="V34" s="93"/>
      <c r="W34" s="93"/>
      <c r="X34" s="93"/>
      <c r="Y34" s="93"/>
      <c r="Z34" s="93"/>
      <c r="AA34" s="93"/>
      <c r="AB34" s="93"/>
      <c r="AD34" s="91"/>
      <c r="AE34" s="86"/>
      <c r="AF34" s="86"/>
      <c r="AG34" s="87"/>
      <c r="AJ34" s="70"/>
    </row>
    <row r="35" spans="2:36" ht="15.75" customHeight="1">
      <c r="B35" s="275">
        <v>2</v>
      </c>
      <c r="C35" s="271"/>
      <c r="D35" s="272"/>
      <c r="E35" s="271"/>
      <c r="F35" s="271"/>
      <c r="G35" s="271"/>
      <c r="H35" s="271"/>
      <c r="I35" s="273"/>
      <c r="J35" s="273"/>
      <c r="K35" s="273"/>
      <c r="L35" s="271"/>
      <c r="M35" s="274"/>
      <c r="N35" s="93"/>
      <c r="O35" s="93"/>
      <c r="P35" s="93"/>
      <c r="Q35" s="93"/>
      <c r="R35" s="93"/>
      <c r="S35" s="93"/>
      <c r="T35" s="93"/>
      <c r="U35" s="93"/>
      <c r="V35" s="93"/>
      <c r="W35" s="93"/>
      <c r="X35" s="93"/>
      <c r="Y35" s="93"/>
      <c r="Z35" s="93"/>
      <c r="AA35" s="93"/>
      <c r="AB35" s="93"/>
      <c r="AD35" s="91"/>
      <c r="AE35" s="86"/>
      <c r="AF35" s="86"/>
      <c r="AG35" s="87"/>
      <c r="AJ35" s="70"/>
    </row>
    <row r="36" spans="2:36" ht="15.75" customHeight="1">
      <c r="B36" s="275">
        <v>3</v>
      </c>
      <c r="C36" s="271"/>
      <c r="D36" s="272"/>
      <c r="E36" s="271"/>
      <c r="F36" s="271"/>
      <c r="G36" s="271"/>
      <c r="H36" s="271"/>
      <c r="I36" s="273"/>
      <c r="J36" s="273"/>
      <c r="K36" s="273"/>
      <c r="L36" s="271"/>
      <c r="M36" s="274"/>
      <c r="N36" s="93"/>
      <c r="O36" s="93"/>
      <c r="P36" s="93"/>
      <c r="Q36" s="93"/>
      <c r="R36" s="93"/>
      <c r="S36" s="93"/>
      <c r="T36" s="93"/>
      <c r="U36" s="93"/>
      <c r="V36" s="93"/>
      <c r="W36" s="93"/>
      <c r="X36" s="93"/>
      <c r="Y36" s="93"/>
      <c r="Z36" s="93"/>
      <c r="AA36" s="93"/>
      <c r="AB36" s="93"/>
      <c r="AD36" s="91"/>
      <c r="AE36" s="86"/>
      <c r="AF36" s="86"/>
      <c r="AG36" s="87"/>
      <c r="AJ36" s="70"/>
    </row>
    <row r="37" spans="2:36" ht="15.75" customHeight="1">
      <c r="B37" s="275">
        <v>4</v>
      </c>
      <c r="C37" s="271"/>
      <c r="D37" s="272"/>
      <c r="E37" s="271"/>
      <c r="F37" s="271"/>
      <c r="G37" s="271"/>
      <c r="H37" s="271"/>
      <c r="I37" s="273"/>
      <c r="J37" s="273"/>
      <c r="K37" s="273"/>
      <c r="L37" s="271"/>
      <c r="M37" s="274"/>
      <c r="N37" s="93"/>
      <c r="O37" s="93"/>
      <c r="P37" s="93"/>
      <c r="Q37" s="93"/>
      <c r="R37" s="93"/>
      <c r="S37" s="93"/>
      <c r="T37" s="93"/>
      <c r="U37" s="93"/>
      <c r="V37" s="93"/>
      <c r="W37" s="93"/>
      <c r="X37" s="93"/>
      <c r="Y37" s="93"/>
      <c r="Z37" s="93"/>
      <c r="AA37" s="93"/>
      <c r="AB37" s="93"/>
      <c r="AD37" s="91"/>
      <c r="AE37" s="86"/>
      <c r="AF37" s="86"/>
      <c r="AG37" s="87"/>
      <c r="AJ37" s="70"/>
    </row>
    <row r="38" spans="2:36" ht="15.75" customHeight="1">
      <c r="B38" s="275">
        <v>5</v>
      </c>
      <c r="C38" s="271"/>
      <c r="D38" s="272"/>
      <c r="E38" s="271"/>
      <c r="F38" s="271"/>
      <c r="G38" s="271"/>
      <c r="H38" s="271"/>
      <c r="I38" s="273"/>
      <c r="J38" s="273"/>
      <c r="K38" s="273"/>
      <c r="L38" s="271"/>
      <c r="M38" s="274"/>
      <c r="N38" s="93"/>
      <c r="O38" s="93"/>
      <c r="P38" s="93"/>
      <c r="Q38" s="93"/>
      <c r="R38" s="93"/>
      <c r="S38" s="93"/>
      <c r="T38" s="93"/>
      <c r="U38" s="93"/>
      <c r="V38" s="93"/>
      <c r="W38" s="93"/>
      <c r="X38" s="93"/>
      <c r="Y38" s="93"/>
      <c r="Z38" s="93"/>
      <c r="AA38" s="93"/>
      <c r="AB38" s="93"/>
      <c r="AD38" s="91"/>
      <c r="AE38" s="86"/>
      <c r="AF38" s="86"/>
      <c r="AG38" s="87"/>
      <c r="AJ38" s="70"/>
    </row>
    <row r="39" spans="2:36" ht="15.75" customHeight="1">
      <c r="B39" s="275">
        <v>6</v>
      </c>
      <c r="C39" s="787"/>
      <c r="D39" s="798"/>
      <c r="E39" s="276"/>
      <c r="F39" s="278"/>
      <c r="G39" s="278"/>
      <c r="H39" s="787"/>
      <c r="I39" s="788"/>
      <c r="J39" s="279"/>
      <c r="K39" s="279"/>
      <c r="L39" s="787"/>
      <c r="M39" s="791"/>
      <c r="N39" s="61"/>
      <c r="O39" s="61"/>
      <c r="P39" s="61"/>
      <c r="Q39" s="61"/>
      <c r="R39" s="61"/>
      <c r="S39" s="61"/>
      <c r="T39" s="61"/>
      <c r="U39" s="61"/>
      <c r="V39" s="61"/>
      <c r="W39" s="61"/>
      <c r="X39" s="61"/>
      <c r="Y39" s="61"/>
      <c r="Z39" s="61"/>
      <c r="AA39" s="61"/>
      <c r="AB39" s="60"/>
      <c r="AD39" s="91"/>
      <c r="AE39" s="86"/>
      <c r="AF39" s="86"/>
      <c r="AG39" s="87"/>
      <c r="AJ39" s="70"/>
    </row>
    <row r="40" spans="2:36" ht="15.75" customHeight="1">
      <c r="B40" s="275">
        <v>7</v>
      </c>
      <c r="C40" s="276"/>
      <c r="D40" s="277"/>
      <c r="E40" s="276"/>
      <c r="F40" s="278"/>
      <c r="G40" s="278"/>
      <c r="H40" s="276"/>
      <c r="I40" s="279"/>
      <c r="J40" s="279"/>
      <c r="K40" s="279"/>
      <c r="L40" s="276"/>
      <c r="M40" s="280"/>
      <c r="N40" s="61"/>
      <c r="O40" s="61"/>
      <c r="P40" s="61"/>
      <c r="Q40" s="61"/>
      <c r="R40" s="61"/>
      <c r="S40" s="61"/>
      <c r="T40" s="61"/>
      <c r="U40" s="61"/>
      <c r="V40" s="61"/>
      <c r="W40" s="61"/>
      <c r="X40" s="61"/>
      <c r="Y40" s="61"/>
      <c r="Z40" s="61"/>
      <c r="AA40" s="61"/>
      <c r="AB40" s="60"/>
      <c r="AD40" s="91"/>
      <c r="AE40" s="86"/>
      <c r="AF40" s="86"/>
      <c r="AG40" s="87"/>
      <c r="AJ40" s="70"/>
    </row>
    <row r="41" spans="2:36" ht="15.75" customHeight="1">
      <c r="B41" s="275">
        <v>8</v>
      </c>
      <c r="C41" s="787"/>
      <c r="D41" s="798"/>
      <c r="E41" s="276"/>
      <c r="F41" s="281"/>
      <c r="G41" s="281"/>
      <c r="H41" s="787"/>
      <c r="I41" s="788"/>
      <c r="J41" s="279"/>
      <c r="K41" s="279"/>
      <c r="L41" s="787"/>
      <c r="M41" s="791"/>
      <c r="N41" s="61"/>
      <c r="O41" s="61"/>
      <c r="P41" s="61"/>
      <c r="Q41" s="61"/>
      <c r="R41" s="61"/>
      <c r="S41" s="61"/>
      <c r="T41" s="61"/>
      <c r="U41" s="61"/>
      <c r="V41" s="61"/>
      <c r="W41" s="61"/>
      <c r="X41" s="61"/>
      <c r="Y41" s="61"/>
      <c r="Z41" s="61"/>
      <c r="AA41" s="61"/>
      <c r="AB41" s="60"/>
      <c r="AD41" s="91"/>
      <c r="AE41" s="86"/>
      <c r="AF41" s="86"/>
      <c r="AG41" s="87"/>
      <c r="AJ41" s="70"/>
    </row>
    <row r="42" spans="2:36" ht="15.75" customHeight="1">
      <c r="B42" s="275">
        <v>9</v>
      </c>
      <c r="C42" s="276"/>
      <c r="D42" s="277"/>
      <c r="E42" s="276"/>
      <c r="F42" s="281"/>
      <c r="G42" s="281"/>
      <c r="H42" s="276"/>
      <c r="I42" s="279"/>
      <c r="J42" s="279"/>
      <c r="K42" s="279"/>
      <c r="L42" s="276"/>
      <c r="M42" s="280"/>
      <c r="N42" s="61"/>
      <c r="O42" s="61"/>
      <c r="P42" s="61"/>
      <c r="Q42" s="61"/>
      <c r="R42" s="61"/>
      <c r="S42" s="61"/>
      <c r="T42" s="61"/>
      <c r="U42" s="61"/>
      <c r="V42" s="61"/>
      <c r="W42" s="61"/>
      <c r="X42" s="61"/>
      <c r="Y42" s="61"/>
      <c r="Z42" s="61"/>
      <c r="AA42" s="61"/>
      <c r="AB42" s="60"/>
      <c r="AD42" s="91"/>
      <c r="AE42" s="86"/>
      <c r="AF42" s="86"/>
      <c r="AG42" s="87"/>
      <c r="AJ42" s="70"/>
    </row>
    <row r="43" spans="2:36" ht="15.75" customHeight="1">
      <c r="B43" s="275">
        <v>10</v>
      </c>
      <c r="C43" s="276"/>
      <c r="D43" s="277"/>
      <c r="E43" s="276"/>
      <c r="F43" s="281"/>
      <c r="G43" s="281"/>
      <c r="H43" s="276"/>
      <c r="I43" s="279"/>
      <c r="J43" s="279"/>
      <c r="K43" s="279"/>
      <c r="L43" s="276"/>
      <c r="M43" s="280"/>
      <c r="N43" s="61"/>
      <c r="O43" s="61"/>
      <c r="P43" s="61"/>
      <c r="Q43" s="61"/>
      <c r="R43" s="61"/>
      <c r="S43" s="61"/>
      <c r="T43" s="61"/>
      <c r="U43" s="61"/>
      <c r="V43" s="61"/>
      <c r="W43" s="61"/>
      <c r="X43" s="61"/>
      <c r="Y43" s="61"/>
      <c r="Z43" s="61"/>
      <c r="AA43" s="61"/>
      <c r="AB43" s="60"/>
      <c r="AD43" s="91"/>
      <c r="AE43" s="86"/>
      <c r="AF43" s="86"/>
      <c r="AG43" s="87"/>
      <c r="AJ43" s="70"/>
    </row>
    <row r="44" spans="2:36" ht="15.75" customHeight="1">
      <c r="B44" s="275">
        <v>11</v>
      </c>
      <c r="C44" s="787"/>
      <c r="D44" s="788"/>
      <c r="E44" s="276"/>
      <c r="F44" s="281"/>
      <c r="G44" s="281"/>
      <c r="H44" s="787"/>
      <c r="I44" s="788"/>
      <c r="J44" s="279"/>
      <c r="K44" s="279"/>
      <c r="L44" s="787"/>
      <c r="M44" s="791"/>
      <c r="N44" s="61"/>
      <c r="O44" s="61"/>
      <c r="P44" s="61"/>
      <c r="Q44" s="61"/>
      <c r="R44" s="61"/>
      <c r="S44" s="61"/>
      <c r="T44" s="61"/>
      <c r="U44" s="61"/>
      <c r="V44" s="61"/>
      <c r="W44" s="61"/>
      <c r="X44" s="61"/>
      <c r="Y44" s="61"/>
      <c r="Z44" s="61"/>
      <c r="AA44" s="61"/>
      <c r="AB44" s="60"/>
      <c r="AD44" s="91"/>
      <c r="AE44" s="86"/>
      <c r="AF44" s="86"/>
      <c r="AG44" s="87"/>
      <c r="AJ44" s="70"/>
    </row>
    <row r="45" spans="2:33" ht="15.75" customHeight="1">
      <c r="B45" s="275">
        <v>12</v>
      </c>
      <c r="C45" s="787"/>
      <c r="D45" s="788"/>
      <c r="E45" s="276"/>
      <c r="F45" s="281"/>
      <c r="G45" s="281"/>
      <c r="H45" s="787"/>
      <c r="I45" s="788"/>
      <c r="J45" s="279"/>
      <c r="K45" s="279"/>
      <c r="L45" s="787"/>
      <c r="M45" s="791"/>
      <c r="N45" s="61"/>
      <c r="O45" s="61"/>
      <c r="P45" s="61"/>
      <c r="Q45" s="61"/>
      <c r="R45" s="61"/>
      <c r="S45" s="61"/>
      <c r="T45" s="61"/>
      <c r="U45" s="61"/>
      <c r="V45" s="61"/>
      <c r="W45" s="61"/>
      <c r="X45" s="61"/>
      <c r="Y45" s="61"/>
      <c r="Z45" s="61"/>
      <c r="AA45" s="61"/>
      <c r="AB45" s="60"/>
      <c r="AD45" s="91"/>
      <c r="AE45" s="86" t="str">
        <f>DATA!C26</f>
        <v>S Ramachandrudu</v>
      </c>
      <c r="AF45" s="86"/>
      <c r="AG45" s="87"/>
    </row>
    <row r="46" spans="2:33" ht="6" customHeight="1">
      <c r="B46" s="259"/>
      <c r="C46" s="133"/>
      <c r="D46" s="133"/>
      <c r="E46" s="133"/>
      <c r="F46" s="133"/>
      <c r="G46" s="133"/>
      <c r="H46" s="707"/>
      <c r="I46" s="707"/>
      <c r="J46" s="133"/>
      <c r="K46" s="133"/>
      <c r="L46" s="133"/>
      <c r="M46" s="260"/>
      <c r="N46" s="65"/>
      <c r="O46" s="65"/>
      <c r="P46" s="65"/>
      <c r="Q46" s="65"/>
      <c r="R46" s="65"/>
      <c r="S46" s="65"/>
      <c r="T46" s="65"/>
      <c r="U46" s="65"/>
      <c r="V46" s="65"/>
      <c r="W46" s="65"/>
      <c r="X46" s="65"/>
      <c r="Y46" s="65"/>
      <c r="Z46" s="65"/>
      <c r="AA46" s="65"/>
      <c r="AB46" s="59"/>
      <c r="AD46" s="91"/>
      <c r="AE46" s="86" t="str">
        <f>DATA!C27</f>
        <v>Mandal Educational Officer</v>
      </c>
      <c r="AF46" s="86"/>
      <c r="AG46" s="87"/>
    </row>
    <row r="47" spans="2:38" ht="15.75" customHeight="1">
      <c r="B47" s="793" t="str">
        <f>AE50</f>
        <v>          I S Ramachandrudu working as Mandal Educational Officer do  hereby  certify  that  the  sum  of Rs. 9825/- Rupees in words (Nine Thousand Eight Hundred and Twenty five rupees only) deducted   at  source   and  paid  to  the credit  of the central Government.   I  further certify  that  the  Informtion givin above is true and  correct based on the books of account, documents and other available records.</v>
      </c>
      <c r="C47" s="794"/>
      <c r="D47" s="794"/>
      <c r="E47" s="794"/>
      <c r="F47" s="794"/>
      <c r="G47" s="794"/>
      <c r="H47" s="794"/>
      <c r="I47" s="794"/>
      <c r="J47" s="794"/>
      <c r="K47" s="794"/>
      <c r="L47" s="794"/>
      <c r="M47" s="795"/>
      <c r="N47" s="59"/>
      <c r="O47" s="59"/>
      <c r="P47" s="59"/>
      <c r="Q47" s="59"/>
      <c r="R47" s="59"/>
      <c r="S47" s="59"/>
      <c r="T47" s="59"/>
      <c r="U47" s="59"/>
      <c r="V47" s="59"/>
      <c r="W47" s="59"/>
      <c r="X47" s="59"/>
      <c r="Y47" s="59"/>
      <c r="Z47" s="59"/>
      <c r="AA47" s="59"/>
      <c r="AB47" s="66"/>
      <c r="AC47" s="68"/>
      <c r="AD47" s="88"/>
      <c r="AE47" s="94" t="str">
        <f>CONCATENATE(AB50,"",AC50)</f>
        <v>9825/-</v>
      </c>
      <c r="AF47" s="68"/>
      <c r="AG47" s="68"/>
      <c r="AH47" s="68"/>
      <c r="AI47" s="68"/>
      <c r="AJ47" s="68"/>
      <c r="AK47" s="95"/>
      <c r="AL47" s="59"/>
    </row>
    <row r="48" spans="2:38" ht="15.75" customHeight="1">
      <c r="B48" s="793"/>
      <c r="C48" s="794"/>
      <c r="D48" s="794"/>
      <c r="E48" s="794"/>
      <c r="F48" s="794"/>
      <c r="G48" s="794"/>
      <c r="H48" s="794"/>
      <c r="I48" s="794"/>
      <c r="J48" s="794"/>
      <c r="K48" s="794"/>
      <c r="L48" s="794"/>
      <c r="M48" s="795"/>
      <c r="N48" s="66"/>
      <c r="O48" s="66"/>
      <c r="P48" s="66"/>
      <c r="Q48" s="66"/>
      <c r="R48" s="66"/>
      <c r="S48" s="66"/>
      <c r="T48" s="66"/>
      <c r="U48" s="66"/>
      <c r="V48" s="66"/>
      <c r="W48" s="66"/>
      <c r="X48" s="66"/>
      <c r="Y48" s="66"/>
      <c r="Z48" s="66"/>
      <c r="AA48" s="66"/>
      <c r="AB48" s="84"/>
      <c r="AC48" s="68"/>
      <c r="AD48" s="68"/>
      <c r="AE48" s="68"/>
      <c r="AF48" s="68"/>
      <c r="AG48" s="68"/>
      <c r="AH48" s="68"/>
      <c r="AI48" s="68"/>
      <c r="AJ48" s="68"/>
      <c r="AK48" s="68"/>
      <c r="AL48" s="59"/>
    </row>
    <row r="49" spans="2:38" ht="15.75" customHeight="1">
      <c r="B49" s="793"/>
      <c r="C49" s="794"/>
      <c r="D49" s="794"/>
      <c r="E49" s="794"/>
      <c r="F49" s="794"/>
      <c r="G49" s="794"/>
      <c r="H49" s="794"/>
      <c r="I49" s="794"/>
      <c r="J49" s="794"/>
      <c r="K49" s="794"/>
      <c r="L49" s="794"/>
      <c r="M49" s="795"/>
      <c r="N49" s="282"/>
      <c r="O49" s="282"/>
      <c r="P49" s="282"/>
      <c r="Q49" s="282"/>
      <c r="R49" s="282"/>
      <c r="S49" s="282"/>
      <c r="T49" s="282"/>
      <c r="U49" s="282"/>
      <c r="V49" s="282"/>
      <c r="W49" s="282"/>
      <c r="X49" s="282"/>
      <c r="Y49" s="282"/>
      <c r="Z49" s="282"/>
      <c r="AA49" s="282"/>
      <c r="AB49" s="60" t="s">
        <v>222</v>
      </c>
      <c r="AC49" s="58"/>
      <c r="AD49" s="58"/>
      <c r="AE49" s="58"/>
      <c r="AF49" s="58"/>
      <c r="AG49" s="58"/>
      <c r="AH49" s="58"/>
      <c r="AI49" s="58"/>
      <c r="AJ49" s="58"/>
      <c r="AK49" s="73"/>
      <c r="AL49" s="59"/>
    </row>
    <row r="50" spans="2:38" ht="15.75" customHeight="1">
      <c r="B50" s="793"/>
      <c r="C50" s="794"/>
      <c r="D50" s="794"/>
      <c r="E50" s="794"/>
      <c r="F50" s="794"/>
      <c r="G50" s="794"/>
      <c r="H50" s="794"/>
      <c r="I50" s="794"/>
      <c r="J50" s="794"/>
      <c r="K50" s="794"/>
      <c r="L50" s="794"/>
      <c r="M50" s="795"/>
      <c r="N50" s="66"/>
      <c r="O50" s="66"/>
      <c r="P50" s="66"/>
      <c r="Q50" s="66"/>
      <c r="R50" s="66"/>
      <c r="S50" s="66"/>
      <c r="T50" s="66"/>
      <c r="U50" s="66"/>
      <c r="V50" s="66"/>
      <c r="W50" s="66"/>
      <c r="X50" s="66"/>
      <c r="Y50" s="66"/>
      <c r="Z50" s="66"/>
      <c r="AA50" s="66"/>
      <c r="AB50" s="95">
        <f>M25</f>
        <v>9825</v>
      </c>
      <c r="AC50" s="68" t="s">
        <v>387</v>
      </c>
      <c r="AD50" s="68" t="str">
        <f>CONCATENATE(AB49," ",C49)</f>
        <v>Rs. </v>
      </c>
      <c r="AE50" s="68"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S Ramachandrudu working as Mandal Educational Officer do  hereby  certify  that  the  sum  of Rs. 9825/- Rupees in words (Nine Thousand Eight Hundred and Twenty five rupees only) deducted   at  source   and  paid  to  the credit  of the central Government.   I  further certify  that  the  Informtion givin above is true and  correct based on the books of account, documents and other available records.</v>
      </c>
      <c r="AF50" s="68"/>
      <c r="AG50" s="68"/>
      <c r="AH50" s="68"/>
      <c r="AI50" s="68"/>
      <c r="AJ50" s="68"/>
      <c r="AK50" s="68"/>
      <c r="AL50" s="59"/>
    </row>
    <row r="51" spans="2:38" ht="12.75" customHeight="1">
      <c r="B51" s="793"/>
      <c r="C51" s="794"/>
      <c r="D51" s="794"/>
      <c r="E51" s="794"/>
      <c r="F51" s="794"/>
      <c r="G51" s="794"/>
      <c r="H51" s="794"/>
      <c r="I51" s="794"/>
      <c r="J51" s="794"/>
      <c r="K51" s="794"/>
      <c r="L51" s="794"/>
      <c r="M51" s="795"/>
      <c r="N51" s="66"/>
      <c r="O51" s="66"/>
      <c r="P51" s="66"/>
      <c r="Q51" s="66"/>
      <c r="R51" s="66"/>
      <c r="S51" s="66"/>
      <c r="T51" s="66"/>
      <c r="U51" s="66"/>
      <c r="V51" s="66"/>
      <c r="W51" s="66"/>
      <c r="X51" s="66"/>
      <c r="Y51" s="66"/>
      <c r="Z51" s="66"/>
      <c r="AA51" s="66"/>
      <c r="AB51" s="84"/>
      <c r="AC51" s="68"/>
      <c r="AD51" s="68"/>
      <c r="AE51" s="68"/>
      <c r="AF51" s="68"/>
      <c r="AG51" s="68"/>
      <c r="AH51" s="68"/>
      <c r="AI51" s="68"/>
      <c r="AJ51" s="68"/>
      <c r="AK51" s="68"/>
      <c r="AL51" s="59"/>
    </row>
    <row r="52" spans="2:38" ht="10.5" customHeight="1">
      <c r="B52" s="283"/>
      <c r="C52" s="120"/>
      <c r="D52" s="120"/>
      <c r="E52" s="120"/>
      <c r="F52" s="120"/>
      <c r="G52" s="120"/>
      <c r="H52" s="120"/>
      <c r="I52" s="120"/>
      <c r="J52" s="120"/>
      <c r="K52" s="120"/>
      <c r="L52" s="120"/>
      <c r="M52" s="284"/>
      <c r="N52" s="67"/>
      <c r="O52" s="67"/>
      <c r="P52" s="67"/>
      <c r="Q52" s="67"/>
      <c r="R52" s="67"/>
      <c r="S52" s="67"/>
      <c r="T52" s="67"/>
      <c r="U52" s="67"/>
      <c r="V52" s="67"/>
      <c r="W52" s="67"/>
      <c r="X52" s="67"/>
      <c r="Y52" s="67"/>
      <c r="Z52" s="67"/>
      <c r="AA52" s="67"/>
      <c r="AB52" s="66"/>
      <c r="AC52" s="84"/>
      <c r="AD52" s="84"/>
      <c r="AE52" s="84"/>
      <c r="AF52" s="84"/>
      <c r="AG52" s="84"/>
      <c r="AH52" s="84"/>
      <c r="AI52" s="66"/>
      <c r="AJ52" s="66"/>
      <c r="AK52" s="66"/>
      <c r="AL52" s="59"/>
    </row>
    <row r="53" spans="2:38" ht="15.75" customHeight="1">
      <c r="B53" s="259"/>
      <c r="C53" s="133"/>
      <c r="D53" s="133"/>
      <c r="E53" s="133"/>
      <c r="F53" s="133"/>
      <c r="G53" s="133"/>
      <c r="H53" s="133"/>
      <c r="I53" s="133"/>
      <c r="J53" s="133"/>
      <c r="K53" s="133"/>
      <c r="L53" s="133"/>
      <c r="M53" s="260"/>
      <c r="N53" s="65"/>
      <c r="O53" s="65"/>
      <c r="P53" s="65"/>
      <c r="Q53" s="65"/>
      <c r="R53" s="65"/>
      <c r="S53" s="65"/>
      <c r="T53" s="65"/>
      <c r="U53" s="65"/>
      <c r="V53" s="65"/>
      <c r="W53" s="65"/>
      <c r="X53" s="65"/>
      <c r="Y53" s="65"/>
      <c r="Z53" s="65"/>
      <c r="AA53" s="65"/>
      <c r="AB53" s="59"/>
      <c r="AC53" s="59"/>
      <c r="AD53" s="59" t="str">
        <f>F234</f>
        <v>(Nine Thousand Eight Hundred and Twenty five rupees only)</v>
      </c>
      <c r="AE53" s="59"/>
      <c r="AF53" s="59"/>
      <c r="AG53" s="59"/>
      <c r="AH53" s="59"/>
      <c r="AI53" s="59"/>
      <c r="AJ53" s="59"/>
      <c r="AK53" s="59"/>
      <c r="AL53" s="59"/>
    </row>
    <row r="54" spans="2:38" ht="15.75" customHeight="1">
      <c r="B54" s="285"/>
      <c r="C54" s="98"/>
      <c r="D54" s="98"/>
      <c r="E54" s="98"/>
      <c r="F54" s="98"/>
      <c r="G54" s="98" t="s">
        <v>388</v>
      </c>
      <c r="H54" s="98"/>
      <c r="I54" s="98"/>
      <c r="J54" s="98"/>
      <c r="K54" s="98"/>
      <c r="L54" s="98"/>
      <c r="M54" s="286"/>
      <c r="N54" s="65"/>
      <c r="O54" s="65"/>
      <c r="P54" s="65"/>
      <c r="Q54" s="65"/>
      <c r="R54" s="65"/>
      <c r="S54" s="65"/>
      <c r="T54" s="65"/>
      <c r="U54" s="65"/>
      <c r="V54" s="65"/>
      <c r="W54" s="65"/>
      <c r="X54" s="65"/>
      <c r="Y54" s="65"/>
      <c r="Z54" s="65"/>
      <c r="AA54" s="65"/>
      <c r="AB54" s="59"/>
      <c r="AC54" s="68"/>
      <c r="AD54" s="68"/>
      <c r="AE54" s="68"/>
      <c r="AF54" s="68"/>
      <c r="AG54" s="68"/>
      <c r="AH54" s="68"/>
      <c r="AI54" s="59"/>
      <c r="AJ54" s="59"/>
      <c r="AK54" s="59"/>
      <c r="AL54" s="59"/>
    </row>
    <row r="55" spans="2:38" ht="6" customHeight="1">
      <c r="B55" s="285"/>
      <c r="C55" s="98"/>
      <c r="D55" s="98"/>
      <c r="E55" s="98"/>
      <c r="F55" s="98"/>
      <c r="G55" s="98"/>
      <c r="H55" s="98"/>
      <c r="I55" s="98"/>
      <c r="J55" s="98"/>
      <c r="K55" s="98"/>
      <c r="L55" s="98"/>
      <c r="M55" s="286"/>
      <c r="N55" s="65"/>
      <c r="O55" s="65"/>
      <c r="P55" s="65"/>
      <c r="Q55" s="65"/>
      <c r="R55" s="65"/>
      <c r="S55" s="65"/>
      <c r="T55" s="65"/>
      <c r="U55" s="65"/>
      <c r="V55" s="65"/>
      <c r="W55" s="65"/>
      <c r="X55" s="65"/>
      <c r="Y55" s="65"/>
      <c r="Z55" s="65"/>
      <c r="AA55" s="65"/>
      <c r="AB55" s="59"/>
      <c r="AC55" s="68"/>
      <c r="AD55" s="68"/>
      <c r="AE55" s="68"/>
      <c r="AF55" s="68"/>
      <c r="AG55" s="68"/>
      <c r="AH55" s="68"/>
      <c r="AI55" s="59"/>
      <c r="AJ55" s="59"/>
      <c r="AK55" s="59"/>
      <c r="AL55" s="59"/>
    </row>
    <row r="56" spans="2:38" ht="12" customHeight="1">
      <c r="B56" s="796" t="s">
        <v>389</v>
      </c>
      <c r="C56" s="666"/>
      <c r="D56" s="98" t="str">
        <f>DATA!L4</f>
        <v>Dhone</v>
      </c>
      <c r="E56" s="98"/>
      <c r="F56" s="98"/>
      <c r="G56" s="98" t="s">
        <v>390</v>
      </c>
      <c r="H56" s="98"/>
      <c r="I56" s="98"/>
      <c r="J56" s="98"/>
      <c r="K56" s="98"/>
      <c r="L56" s="98"/>
      <c r="M56" s="286"/>
      <c r="N56" s="65"/>
      <c r="O56" s="65"/>
      <c r="P56" s="65"/>
      <c r="Q56" s="65"/>
      <c r="R56" s="65"/>
      <c r="S56" s="65"/>
      <c r="T56" s="65"/>
      <c r="U56" s="65"/>
      <c r="V56" s="65"/>
      <c r="W56" s="65"/>
      <c r="X56" s="65"/>
      <c r="Y56" s="65"/>
      <c r="Z56" s="65"/>
      <c r="AA56" s="65"/>
      <c r="AB56" s="59"/>
      <c r="AC56" s="68"/>
      <c r="AD56" s="68"/>
      <c r="AE56" s="68"/>
      <c r="AF56" s="68"/>
      <c r="AG56" s="68"/>
      <c r="AH56" s="68"/>
      <c r="AI56" s="59"/>
      <c r="AJ56" s="59"/>
      <c r="AK56" s="59"/>
      <c r="AL56" s="59"/>
    </row>
    <row r="57" spans="2:38" ht="12" customHeight="1">
      <c r="B57" s="796" t="s">
        <v>391</v>
      </c>
      <c r="C57" s="666"/>
      <c r="D57" s="797">
        <f ca="1">TODAY()</f>
        <v>42039</v>
      </c>
      <c r="E57" s="797"/>
      <c r="F57" s="119"/>
      <c r="G57" s="119" t="s">
        <v>392</v>
      </c>
      <c r="H57" s="666" t="str">
        <f>DATA!C26</f>
        <v>S Ramachandrudu</v>
      </c>
      <c r="I57" s="666"/>
      <c r="J57" s="666"/>
      <c r="K57" s="666"/>
      <c r="L57" s="98"/>
      <c r="M57" s="287"/>
      <c r="N57" s="67"/>
      <c r="O57" s="67"/>
      <c r="P57" s="67"/>
      <c r="Q57" s="67"/>
      <c r="R57" s="67"/>
      <c r="S57" s="67"/>
      <c r="T57" s="67"/>
      <c r="U57" s="67"/>
      <c r="V57" s="67"/>
      <c r="W57" s="67"/>
      <c r="X57" s="67"/>
      <c r="Y57" s="67"/>
      <c r="Z57" s="67"/>
      <c r="AA57" s="67"/>
      <c r="AB57" s="66"/>
      <c r="AC57" s="84"/>
      <c r="AD57" s="84"/>
      <c r="AE57" s="84"/>
      <c r="AF57" s="84"/>
      <c r="AG57" s="84"/>
      <c r="AH57" s="84"/>
      <c r="AI57" s="84"/>
      <c r="AJ57" s="84"/>
      <c r="AK57" s="59"/>
      <c r="AL57" s="59"/>
    </row>
    <row r="58" spans="2:38" ht="12" customHeight="1">
      <c r="B58" s="285"/>
      <c r="C58" s="98"/>
      <c r="D58" s="98"/>
      <c r="E58" s="98"/>
      <c r="F58" s="288"/>
      <c r="G58" s="98" t="s">
        <v>393</v>
      </c>
      <c r="H58" s="666" t="str">
        <f>DATA!C27</f>
        <v>Mandal Educational Officer</v>
      </c>
      <c r="I58" s="666"/>
      <c r="J58" s="666"/>
      <c r="K58" s="666"/>
      <c r="L58" s="98"/>
      <c r="M58" s="287"/>
      <c r="N58" s="67"/>
      <c r="O58" s="67"/>
      <c r="P58" s="67"/>
      <c r="Q58" s="67"/>
      <c r="R58" s="67"/>
      <c r="S58" s="67"/>
      <c r="T58" s="67"/>
      <c r="U58" s="67"/>
      <c r="V58" s="67"/>
      <c r="W58" s="67"/>
      <c r="X58" s="67"/>
      <c r="Y58" s="67"/>
      <c r="Z58" s="67"/>
      <c r="AA58" s="67"/>
      <c r="AB58" s="66"/>
      <c r="AC58" s="84"/>
      <c r="AD58" s="84"/>
      <c r="AE58" s="84"/>
      <c r="AF58" s="84"/>
      <c r="AG58" s="84"/>
      <c r="AH58" s="84"/>
      <c r="AI58" s="84"/>
      <c r="AJ58" s="84"/>
      <c r="AK58" s="59"/>
      <c r="AL58" s="59"/>
    </row>
    <row r="59" spans="2:38" ht="4.5" customHeight="1">
      <c r="B59" s="289"/>
      <c r="C59" s="72"/>
      <c r="D59" s="72"/>
      <c r="E59" s="72"/>
      <c r="F59" s="72"/>
      <c r="G59" s="72"/>
      <c r="H59" s="72"/>
      <c r="I59" s="72"/>
      <c r="J59" s="72"/>
      <c r="K59" s="72"/>
      <c r="L59" s="72"/>
      <c r="M59" s="290"/>
      <c r="N59" s="65"/>
      <c r="O59" s="65"/>
      <c r="P59" s="65"/>
      <c r="Q59" s="65"/>
      <c r="R59" s="65"/>
      <c r="S59" s="65"/>
      <c r="T59" s="65"/>
      <c r="U59" s="65"/>
      <c r="V59" s="65"/>
      <c r="W59" s="65"/>
      <c r="X59" s="65"/>
      <c r="Y59" s="65"/>
      <c r="Z59" s="65"/>
      <c r="AA59" s="65"/>
      <c r="AB59" s="59"/>
      <c r="AC59" s="59"/>
      <c r="AD59" s="59"/>
      <c r="AE59" s="59"/>
      <c r="AF59" s="59"/>
      <c r="AG59" s="59"/>
      <c r="AH59" s="59"/>
      <c r="AI59" s="59"/>
      <c r="AJ59" s="59"/>
      <c r="AK59" s="59"/>
      <c r="AL59" s="59"/>
    </row>
    <row r="60" spans="2:28" ht="16.5" customHeight="1">
      <c r="B60" s="96" t="s">
        <v>506</v>
      </c>
      <c r="C60" s="96"/>
      <c r="D60" s="96"/>
      <c r="E60" s="96"/>
      <c r="F60" s="96"/>
      <c r="G60" s="96"/>
      <c r="H60" s="96"/>
      <c r="I60" s="96"/>
      <c r="J60" s="96"/>
      <c r="K60" s="96"/>
      <c r="L60" s="96"/>
      <c r="M60" s="96"/>
      <c r="N60" s="65"/>
      <c r="O60" s="65"/>
      <c r="P60" s="65"/>
      <c r="Q60" s="65"/>
      <c r="R60" s="65"/>
      <c r="S60" s="65"/>
      <c r="T60" s="65"/>
      <c r="U60" s="65"/>
      <c r="V60" s="65"/>
      <c r="W60" s="65"/>
      <c r="X60" s="65"/>
      <c r="Y60" s="65"/>
      <c r="Z60" s="65"/>
      <c r="AA60" s="65"/>
      <c r="AB60" s="59"/>
    </row>
    <row r="61" spans="2:28" ht="7.5" customHeight="1">
      <c r="B61" s="96"/>
      <c r="C61" s="96"/>
      <c r="D61" s="96"/>
      <c r="E61" s="96"/>
      <c r="F61" s="96"/>
      <c r="G61" s="96"/>
      <c r="H61" s="96"/>
      <c r="I61" s="96"/>
      <c r="J61" s="96"/>
      <c r="K61" s="96"/>
      <c r="L61" s="96"/>
      <c r="M61" s="96"/>
      <c r="N61" s="65"/>
      <c r="O61" s="65"/>
      <c r="P61" s="65"/>
      <c r="Q61" s="65"/>
      <c r="R61" s="65"/>
      <c r="S61" s="65"/>
      <c r="T61" s="65"/>
      <c r="U61" s="65"/>
      <c r="V61" s="65"/>
      <c r="W61" s="65"/>
      <c r="X61" s="65"/>
      <c r="Y61" s="65"/>
      <c r="Z61" s="65"/>
      <c r="AA61" s="65"/>
      <c r="AB61" s="59"/>
    </row>
    <row r="62" spans="2:28" ht="7.5" customHeight="1">
      <c r="B62" s="96"/>
      <c r="C62" s="96"/>
      <c r="D62" s="96"/>
      <c r="E62" s="96"/>
      <c r="F62" s="96"/>
      <c r="G62" s="96"/>
      <c r="H62" s="96"/>
      <c r="I62" s="96"/>
      <c r="J62" s="96"/>
      <c r="K62" s="96"/>
      <c r="L62" s="96"/>
      <c r="M62" s="96"/>
      <c r="N62" s="65"/>
      <c r="O62" s="65"/>
      <c r="P62" s="65"/>
      <c r="Q62" s="65"/>
      <c r="R62" s="65"/>
      <c r="S62" s="65"/>
      <c r="T62" s="65"/>
      <c r="U62" s="65"/>
      <c r="V62" s="65"/>
      <c r="W62" s="65"/>
      <c r="X62" s="65"/>
      <c r="Y62" s="65"/>
      <c r="Z62" s="65"/>
      <c r="AA62" s="65"/>
      <c r="AB62" s="59"/>
    </row>
    <row r="63" spans="2:28" ht="12" customHeight="1">
      <c r="B63" s="96"/>
      <c r="C63" s="96"/>
      <c r="D63" s="96"/>
      <c r="E63" s="96"/>
      <c r="F63" s="96"/>
      <c r="G63" s="96"/>
      <c r="H63" s="96"/>
      <c r="I63" s="96"/>
      <c r="J63" s="96"/>
      <c r="K63" s="96"/>
      <c r="L63" s="96"/>
      <c r="M63" s="96"/>
      <c r="N63" s="65"/>
      <c r="O63" s="65"/>
      <c r="P63" s="65"/>
      <c r="Q63" s="65"/>
      <c r="R63" s="65"/>
      <c r="S63" s="65"/>
      <c r="T63" s="65"/>
      <c r="U63" s="65"/>
      <c r="V63" s="65"/>
      <c r="W63" s="65"/>
      <c r="X63" s="65"/>
      <c r="Y63" s="65"/>
      <c r="Z63" s="65"/>
      <c r="AA63" s="65"/>
      <c r="AB63" s="59"/>
    </row>
    <row r="64" spans="2:28" ht="12" customHeight="1">
      <c r="B64" s="96"/>
      <c r="C64" s="96"/>
      <c r="D64" s="96"/>
      <c r="E64" s="96"/>
      <c r="F64" s="96"/>
      <c r="G64" s="96"/>
      <c r="H64" s="96"/>
      <c r="I64" s="96"/>
      <c r="J64" s="96"/>
      <c r="K64" s="96"/>
      <c r="L64" s="96"/>
      <c r="M64" s="96"/>
      <c r="N64" s="65"/>
      <c r="O64" s="65"/>
      <c r="P64" s="65"/>
      <c r="Q64" s="65"/>
      <c r="R64" s="65"/>
      <c r="S64" s="65"/>
      <c r="T64" s="65"/>
      <c r="U64" s="65"/>
      <c r="V64" s="65"/>
      <c r="W64" s="65"/>
      <c r="X64" s="65"/>
      <c r="Y64" s="65"/>
      <c r="Z64" s="65"/>
      <c r="AA64" s="65"/>
      <c r="AB64" s="68"/>
    </row>
    <row r="65" spans="2:28" ht="16.5">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row>
    <row r="66" spans="2:28" ht="16.5">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row>
    <row r="67" spans="2:28" ht="16.5">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row>
    <row r="68" spans="2:28" ht="16.5">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row>
    <row r="69" spans="2:28" ht="16.5">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row>
    <row r="70" spans="2:28" ht="16.5">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row>
    <row r="71" spans="2:28" ht="16.5">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row>
    <row r="72" spans="2:28" ht="16.5">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row>
    <row r="73" spans="2:28" ht="16.5">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row>
    <row r="74" spans="2:28" ht="16.5">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2:28" ht="16.5">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row>
    <row r="76" spans="2:28" ht="16.5">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row>
    <row r="77" spans="2:28" ht="16.5">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row>
    <row r="78" spans="2:28" ht="16.5">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row>
    <row r="79" spans="2:28" ht="16.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row>
    <row r="80" spans="2:28" ht="16.5">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row>
    <row r="81" spans="2:28" ht="16.5">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row>
    <row r="82" spans="2:28" ht="16.5">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row>
    <row r="83" spans="2:28" ht="16.5">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row>
    <row r="84" spans="2:28" ht="16.5">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row>
    <row r="85" spans="2:28" ht="16.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row>
    <row r="86" spans="2:28" ht="16.5">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row>
    <row r="87" spans="2:28" ht="16.5">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row>
    <row r="88" spans="2:28" ht="16.5">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row>
    <row r="89" spans="2:28" ht="16.5">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row>
    <row r="90" spans="2:28" ht="16.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row>
    <row r="91" spans="2:28" ht="16.5">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row>
    <row r="92" spans="2:28" ht="16.5">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row>
    <row r="93" spans="2:28" ht="16.5">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row>
    <row r="94" spans="14:28" ht="16.5">
      <c r="N94" s="96"/>
      <c r="O94" s="96"/>
      <c r="P94" s="96"/>
      <c r="Q94" s="96"/>
      <c r="R94" s="96"/>
      <c r="S94" s="96"/>
      <c r="T94" s="96"/>
      <c r="U94" s="96"/>
      <c r="V94" s="96"/>
      <c r="W94" s="96"/>
      <c r="X94" s="96"/>
      <c r="Y94" s="96"/>
      <c r="Z94" s="96"/>
      <c r="AA94" s="96"/>
      <c r="AB94" s="96"/>
    </row>
    <row r="95" spans="14:28" ht="16.5">
      <c r="N95" s="96"/>
      <c r="O95" s="96"/>
      <c r="P95" s="96"/>
      <c r="Q95" s="96"/>
      <c r="R95" s="96"/>
      <c r="S95" s="96"/>
      <c r="T95" s="96"/>
      <c r="U95" s="96"/>
      <c r="V95" s="96"/>
      <c r="W95" s="96"/>
      <c r="X95" s="96"/>
      <c r="Y95" s="96"/>
      <c r="Z95" s="96"/>
      <c r="AA95" s="96"/>
      <c r="AB95" s="96"/>
    </row>
    <row r="96" spans="14:28" ht="16.5">
      <c r="N96" s="96"/>
      <c r="O96" s="96"/>
      <c r="P96" s="96"/>
      <c r="Q96" s="96"/>
      <c r="R96" s="96"/>
      <c r="S96" s="96"/>
      <c r="T96" s="96"/>
      <c r="U96" s="96"/>
      <c r="V96" s="96"/>
      <c r="W96" s="96"/>
      <c r="X96" s="96"/>
      <c r="Y96" s="96"/>
      <c r="Z96" s="96"/>
      <c r="AA96" s="96"/>
      <c r="AB96" s="96"/>
    </row>
    <row r="97" spans="14:28" ht="16.5">
      <c r="N97" s="96"/>
      <c r="O97" s="96"/>
      <c r="P97" s="96"/>
      <c r="Q97" s="96"/>
      <c r="R97" s="96"/>
      <c r="S97" s="96"/>
      <c r="T97" s="96"/>
      <c r="U97" s="96"/>
      <c r="V97" s="96"/>
      <c r="W97" s="96"/>
      <c r="X97" s="96"/>
      <c r="Y97" s="96"/>
      <c r="Z97" s="96"/>
      <c r="AA97" s="96"/>
      <c r="AB97" s="96"/>
    </row>
    <row r="98" spans="14:28" ht="16.5">
      <c r="N98" s="96"/>
      <c r="O98" s="96"/>
      <c r="P98" s="96"/>
      <c r="Q98" s="96"/>
      <c r="R98" s="96"/>
      <c r="S98" s="96"/>
      <c r="T98" s="96"/>
      <c r="U98" s="96"/>
      <c r="V98" s="96"/>
      <c r="W98" s="96"/>
      <c r="X98" s="96"/>
      <c r="Y98" s="96"/>
      <c r="Z98" s="96"/>
      <c r="AA98" s="96"/>
      <c r="AB98" s="96"/>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59"/>
      <c r="C198" s="59"/>
      <c r="D198" s="59"/>
      <c r="E198" s="59"/>
      <c r="F198" s="59"/>
      <c r="G198" s="59"/>
      <c r="H198" s="59"/>
      <c r="I198" s="59"/>
      <c r="J198" s="59"/>
      <c r="K198" s="59"/>
      <c r="L198" s="59"/>
      <c r="M198" s="59"/>
    </row>
    <row r="199" spans="2:13" ht="13.5" hidden="1">
      <c r="B199" s="59"/>
      <c r="C199" s="59"/>
      <c r="D199" s="59"/>
      <c r="E199" s="59"/>
      <c r="F199" s="59"/>
      <c r="G199" s="59"/>
      <c r="H199" s="59"/>
      <c r="I199" s="59"/>
      <c r="J199" s="59"/>
      <c r="K199" s="59"/>
      <c r="L199" s="59"/>
      <c r="M199" s="59"/>
    </row>
    <row r="200" spans="2:13" ht="13.5" hidden="1">
      <c r="B200" s="59"/>
      <c r="C200" s="59"/>
      <c r="D200" s="59"/>
      <c r="E200" s="59"/>
      <c r="F200" s="59"/>
      <c r="G200" s="59"/>
      <c r="H200" s="59"/>
      <c r="I200" s="59"/>
      <c r="J200" s="59"/>
      <c r="K200" s="59"/>
      <c r="L200" s="59"/>
      <c r="M200" s="59"/>
    </row>
    <row r="201" spans="2:13" ht="13.5" hidden="1">
      <c r="B201" s="59"/>
      <c r="C201" s="59"/>
      <c r="D201" s="59"/>
      <c r="E201" s="59"/>
      <c r="F201" s="59"/>
      <c r="G201" s="59"/>
      <c r="H201" s="59"/>
      <c r="I201" s="59"/>
      <c r="J201" s="59"/>
      <c r="K201" s="59"/>
      <c r="L201" s="59"/>
      <c r="M201" s="59"/>
    </row>
    <row r="202" spans="2:13" ht="13.5" hidden="1">
      <c r="B202" s="59"/>
      <c r="C202" s="59"/>
      <c r="D202" s="59"/>
      <c r="E202" s="59"/>
      <c r="F202" s="59"/>
      <c r="G202" s="59"/>
      <c r="H202" s="59"/>
      <c r="I202" s="59"/>
      <c r="J202" s="59"/>
      <c r="K202" s="59"/>
      <c r="L202" s="59"/>
      <c r="M202" s="59"/>
    </row>
    <row r="203" s="59" customFormat="1" ht="13.5" hidden="1"/>
    <row r="204" s="59" customFormat="1" ht="13.5" hidden="1"/>
    <row r="205" s="59" customFormat="1" ht="13.5" hidden="1"/>
    <row r="206" s="59" customFormat="1" ht="13.5" hidden="1"/>
    <row r="207" s="59" customFormat="1" ht="13.5" hidden="1"/>
    <row r="208" spans="110:209" s="59" customFormat="1" ht="13.5" hidden="1">
      <c r="DF208" s="97"/>
      <c r="DG208" s="97"/>
      <c r="DH208" s="97"/>
      <c r="DI208" s="97"/>
      <c r="DJ208" s="97"/>
      <c r="DK208" s="97"/>
      <c r="DL208" s="97"/>
      <c r="DM208" s="97"/>
      <c r="DN208" s="97"/>
      <c r="DO208" s="97"/>
      <c r="DP208" s="97"/>
      <c r="DQ208" s="97"/>
      <c r="DR208" s="97"/>
      <c r="DS208" s="97"/>
      <c r="DT208" s="97"/>
      <c r="DU208" s="97"/>
      <c r="DV208" s="97"/>
      <c r="DW208" s="97"/>
      <c r="DX208" s="97"/>
      <c r="DY208" s="97"/>
      <c r="DZ208" s="97"/>
      <c r="EA208" s="97"/>
      <c r="EB208" s="97"/>
      <c r="EC208" s="97"/>
      <c r="ED208" s="97"/>
      <c r="EE208" s="97"/>
      <c r="EF208" s="97"/>
      <c r="EG208" s="97"/>
      <c r="EH208" s="97"/>
      <c r="EI208" s="97"/>
      <c r="EJ208" s="97"/>
      <c r="EK208" s="97"/>
      <c r="EL208" s="97"/>
      <c r="EM208" s="97"/>
      <c r="EN208" s="97"/>
      <c r="EO208" s="97"/>
      <c r="EP208" s="97"/>
      <c r="EQ208" s="97"/>
      <c r="ER208" s="97"/>
      <c r="ES208" s="97"/>
      <c r="ET208" s="97"/>
      <c r="EU208" s="97"/>
      <c r="EV208" s="97"/>
      <c r="EW208" s="97"/>
      <c r="EX208" s="97"/>
      <c r="EY208" s="97"/>
      <c r="EZ208" s="97"/>
      <c r="FA208" s="97"/>
      <c r="FB208" s="97"/>
      <c r="FC208" s="97"/>
      <c r="FD208" s="97"/>
      <c r="FE208" s="97"/>
      <c r="FF208" s="97"/>
      <c r="FG208" s="97"/>
      <c r="FH208" s="97"/>
      <c r="FI208" s="97"/>
      <c r="FJ208" s="97"/>
      <c r="FK208" s="97"/>
      <c r="FL208" s="97"/>
      <c r="FM208" s="97"/>
      <c r="FN208" s="97"/>
      <c r="FO208" s="97"/>
      <c r="FP208" s="97"/>
      <c r="FQ208" s="97"/>
      <c r="FR208" s="97"/>
      <c r="FS208" s="97"/>
      <c r="FT208" s="97"/>
      <c r="FU208" s="97"/>
      <c r="FV208" s="97"/>
      <c r="FW208" s="97"/>
      <c r="FX208" s="97"/>
      <c r="FY208" s="97"/>
      <c r="FZ208" s="97"/>
      <c r="GA208" s="97"/>
      <c r="GB208" s="97"/>
      <c r="GC208" s="97"/>
      <c r="GD208" s="97"/>
      <c r="GE208" s="97"/>
      <c r="GF208" s="97"/>
      <c r="GG208" s="97"/>
      <c r="GH208" s="97"/>
      <c r="GI208" s="97"/>
      <c r="GJ208" s="97"/>
      <c r="GK208" s="97"/>
      <c r="GL208" s="97"/>
      <c r="GM208" s="97"/>
      <c r="GN208" s="97"/>
      <c r="GO208" s="97"/>
      <c r="GP208" s="97"/>
      <c r="GQ208" s="97"/>
      <c r="GR208" s="97"/>
      <c r="GS208" s="97"/>
      <c r="GT208" s="97"/>
      <c r="GU208" s="97"/>
      <c r="GV208" s="97"/>
      <c r="GW208" s="97"/>
      <c r="GX208" s="97"/>
      <c r="GY208" s="97"/>
      <c r="GZ208" s="97"/>
      <c r="HA208" s="97"/>
    </row>
    <row r="209" spans="110:209" s="59" customFormat="1" ht="13.5" hidden="1">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c r="EC209" s="97"/>
      <c r="ED209" s="97"/>
      <c r="EE209" s="97"/>
      <c r="EF209" s="97"/>
      <c r="EG209" s="97"/>
      <c r="EH209" s="97"/>
      <c r="EI209" s="97"/>
      <c r="EJ209" s="97"/>
      <c r="EK209" s="97"/>
      <c r="EL209" s="97"/>
      <c r="EM209" s="97"/>
      <c r="EN209" s="97"/>
      <c r="EO209" s="97"/>
      <c r="EP209" s="97"/>
      <c r="EQ209" s="97"/>
      <c r="ER209" s="97"/>
      <c r="ES209" s="97"/>
      <c r="ET209" s="97"/>
      <c r="EU209" s="97"/>
      <c r="EV209" s="97"/>
      <c r="EW209" s="97"/>
      <c r="EX209" s="97"/>
      <c r="EY209" s="97"/>
      <c r="EZ209" s="97"/>
      <c r="FA209" s="97"/>
      <c r="FB209" s="97"/>
      <c r="FC209" s="97"/>
      <c r="FD209" s="97"/>
      <c r="FE209" s="97"/>
      <c r="FF209" s="97"/>
      <c r="FG209" s="97"/>
      <c r="FH209" s="97"/>
      <c r="FI209" s="97"/>
      <c r="FJ209" s="97"/>
      <c r="FK209" s="97"/>
      <c r="FL209" s="97"/>
      <c r="FM209" s="97"/>
      <c r="FN209" s="97"/>
      <c r="FO209" s="97"/>
      <c r="FP209" s="97"/>
      <c r="FQ209" s="97"/>
      <c r="FR209" s="97"/>
      <c r="FS209" s="97"/>
      <c r="FT209" s="97"/>
      <c r="FU209" s="97"/>
      <c r="FV209" s="97"/>
      <c r="FW209" s="97"/>
      <c r="FX209" s="97"/>
      <c r="FY209" s="97"/>
      <c r="FZ209" s="97"/>
      <c r="GA209" s="97"/>
      <c r="GB209" s="97"/>
      <c r="GC209" s="97"/>
      <c r="GD209" s="97"/>
      <c r="GE209" s="97"/>
      <c r="GF209" s="97"/>
      <c r="GG209" s="97"/>
      <c r="GH209" s="97"/>
      <c r="GI209" s="97"/>
      <c r="GJ209" s="97"/>
      <c r="GK209" s="97"/>
      <c r="GL209" s="97"/>
      <c r="GM209" s="97"/>
      <c r="GN209" s="97"/>
      <c r="GO209" s="97"/>
      <c r="GP209" s="97"/>
      <c r="GQ209" s="97"/>
      <c r="GR209" s="97"/>
      <c r="GS209" s="97"/>
      <c r="GT209" s="97"/>
      <c r="GU209" s="97"/>
      <c r="GV209" s="97"/>
      <c r="GW209" s="97"/>
      <c r="GX209" s="97"/>
      <c r="GY209" s="97"/>
      <c r="GZ209" s="97"/>
      <c r="HA209" s="97"/>
    </row>
    <row r="210" spans="110:209" s="59" customFormat="1" ht="13.5" hidden="1">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c r="EC210" s="97"/>
      <c r="ED210" s="97"/>
      <c r="EE210" s="97"/>
      <c r="EF210" s="97"/>
      <c r="EG210" s="97"/>
      <c r="EH210" s="97"/>
      <c r="EI210" s="97"/>
      <c r="EJ210" s="97"/>
      <c r="EK210" s="97"/>
      <c r="EL210" s="97"/>
      <c r="EM210" s="97"/>
      <c r="EN210" s="97"/>
      <c r="EO210" s="97"/>
      <c r="EP210" s="97"/>
      <c r="EQ210" s="97"/>
      <c r="ER210" s="97"/>
      <c r="ES210" s="97"/>
      <c r="ET210" s="97"/>
      <c r="EU210" s="97"/>
      <c r="EV210" s="97"/>
      <c r="EW210" s="97"/>
      <c r="EX210" s="97"/>
      <c r="EY210" s="97"/>
      <c r="EZ210" s="97"/>
      <c r="FA210" s="97"/>
      <c r="FB210" s="97"/>
      <c r="FC210" s="97"/>
      <c r="FD210" s="97"/>
      <c r="FE210" s="97"/>
      <c r="FF210" s="97"/>
      <c r="FG210" s="97"/>
      <c r="FH210" s="97"/>
      <c r="FI210" s="97"/>
      <c r="FJ210" s="97"/>
      <c r="FK210" s="97"/>
      <c r="FL210" s="97"/>
      <c r="FM210" s="97"/>
      <c r="FN210" s="97"/>
      <c r="FO210" s="97"/>
      <c r="FP210" s="97"/>
      <c r="FQ210" s="97"/>
      <c r="FR210" s="97"/>
      <c r="FS210" s="97"/>
      <c r="FT210" s="97"/>
      <c r="FU210" s="97"/>
      <c r="FV210" s="97"/>
      <c r="FW210" s="97"/>
      <c r="FX210" s="97"/>
      <c r="FY210" s="97"/>
      <c r="FZ210" s="97"/>
      <c r="GA210" s="97"/>
      <c r="GB210" s="97"/>
      <c r="GC210" s="97"/>
      <c r="GD210" s="97"/>
      <c r="GE210" s="97"/>
      <c r="GF210" s="97"/>
      <c r="GG210" s="97"/>
      <c r="GH210" s="97"/>
      <c r="GI210" s="97"/>
      <c r="GJ210" s="97"/>
      <c r="GK210" s="97"/>
      <c r="GL210" s="97"/>
      <c r="GM210" s="97"/>
      <c r="GN210" s="97"/>
      <c r="GO210" s="97"/>
      <c r="GP210" s="97"/>
      <c r="GQ210" s="97"/>
      <c r="GR210" s="97"/>
      <c r="GS210" s="97"/>
      <c r="GT210" s="97"/>
      <c r="GU210" s="97"/>
      <c r="GV210" s="97"/>
      <c r="GW210" s="97"/>
      <c r="GX210" s="97"/>
      <c r="GY210" s="97"/>
      <c r="GZ210" s="97"/>
      <c r="HA210" s="97"/>
    </row>
    <row r="211" spans="110:209" s="59" customFormat="1" ht="13.5" hidden="1">
      <c r="DF211" s="97"/>
      <c r="DG211" s="97"/>
      <c r="DH211" s="97"/>
      <c r="DI211" s="97"/>
      <c r="DJ211" s="97"/>
      <c r="DK211" s="97"/>
      <c r="DL211" s="97"/>
      <c r="DM211" s="97"/>
      <c r="DN211" s="97"/>
      <c r="DO211" s="97"/>
      <c r="DP211" s="97"/>
      <c r="DQ211" s="97"/>
      <c r="DR211" s="97"/>
      <c r="DS211" s="97"/>
      <c r="DT211" s="97"/>
      <c r="DU211" s="97"/>
      <c r="DV211" s="97"/>
      <c r="DW211" s="97"/>
      <c r="DX211" s="97"/>
      <c r="DY211" s="97"/>
      <c r="DZ211" s="97"/>
      <c r="EA211" s="97"/>
      <c r="EB211" s="97"/>
      <c r="EC211" s="97"/>
      <c r="ED211" s="97"/>
      <c r="EE211" s="97"/>
      <c r="EF211" s="97"/>
      <c r="EG211" s="97"/>
      <c r="EH211" s="97"/>
      <c r="EI211" s="97"/>
      <c r="EJ211" s="97"/>
      <c r="EK211" s="97"/>
      <c r="EL211" s="97"/>
      <c r="EM211" s="97"/>
      <c r="EN211" s="97"/>
      <c r="EO211" s="97"/>
      <c r="EP211" s="97"/>
      <c r="EQ211" s="97"/>
      <c r="ER211" s="97"/>
      <c r="ES211" s="97"/>
      <c r="ET211" s="97"/>
      <c r="EU211" s="97"/>
      <c r="EV211" s="97"/>
      <c r="EW211" s="97"/>
      <c r="EX211" s="97"/>
      <c r="EY211" s="97"/>
      <c r="EZ211" s="97"/>
      <c r="FA211" s="97"/>
      <c r="FB211" s="97"/>
      <c r="FC211" s="97"/>
      <c r="FD211" s="97"/>
      <c r="FE211" s="97"/>
      <c r="FF211" s="97"/>
      <c r="FG211" s="97"/>
      <c r="FH211" s="97"/>
      <c r="FI211" s="97"/>
      <c r="FJ211" s="97"/>
      <c r="FK211" s="97"/>
      <c r="FL211" s="97"/>
      <c r="FM211" s="97"/>
      <c r="FN211" s="97"/>
      <c r="FO211" s="97"/>
      <c r="FP211" s="97"/>
      <c r="FQ211" s="97"/>
      <c r="FR211" s="97"/>
      <c r="FS211" s="97"/>
      <c r="FT211" s="97"/>
      <c r="FU211" s="97"/>
      <c r="FV211" s="97"/>
      <c r="FW211" s="97"/>
      <c r="FX211" s="97"/>
      <c r="FY211" s="97"/>
      <c r="FZ211" s="97"/>
      <c r="GA211" s="97"/>
      <c r="GB211" s="97"/>
      <c r="GC211" s="97"/>
      <c r="GD211" s="97"/>
      <c r="GE211" s="97"/>
      <c r="GF211" s="97"/>
      <c r="GG211" s="97"/>
      <c r="GH211" s="97"/>
      <c r="GI211" s="97"/>
      <c r="GJ211" s="97"/>
      <c r="GK211" s="97"/>
      <c r="GL211" s="97"/>
      <c r="GM211" s="97"/>
      <c r="GN211" s="97"/>
      <c r="GO211" s="97"/>
      <c r="GP211" s="97"/>
      <c r="GQ211" s="97"/>
      <c r="GR211" s="97"/>
      <c r="GS211" s="97"/>
      <c r="GT211" s="97"/>
      <c r="GU211" s="97"/>
      <c r="GV211" s="97"/>
      <c r="GW211" s="97"/>
      <c r="GX211" s="97"/>
      <c r="GY211" s="97"/>
      <c r="GZ211" s="97"/>
      <c r="HA211" s="97"/>
    </row>
    <row r="212" spans="110:209" s="59" customFormat="1" ht="13.5" hidden="1">
      <c r="DF212" s="97"/>
      <c r="DG212" s="97"/>
      <c r="DH212" s="97"/>
      <c r="DI212" s="97"/>
      <c r="DJ212" s="97"/>
      <c r="DK212" s="97"/>
      <c r="DL212" s="97"/>
      <c r="DM212" s="97"/>
      <c r="DN212" s="97"/>
      <c r="DO212" s="97"/>
      <c r="DP212" s="97"/>
      <c r="DQ212" s="97"/>
      <c r="DR212" s="97"/>
      <c r="DS212" s="97"/>
      <c r="DT212" s="97"/>
      <c r="DU212" s="97"/>
      <c r="DV212" s="97"/>
      <c r="DW212" s="97"/>
      <c r="DX212" s="97"/>
      <c r="DY212" s="97"/>
      <c r="DZ212" s="97"/>
      <c r="EA212" s="97"/>
      <c r="EB212" s="97"/>
      <c r="EC212" s="97"/>
      <c r="ED212" s="97"/>
      <c r="EE212" s="97"/>
      <c r="EF212" s="97"/>
      <c r="EG212" s="97"/>
      <c r="EH212" s="97"/>
      <c r="EI212" s="97"/>
      <c r="EJ212" s="97"/>
      <c r="EK212" s="97"/>
      <c r="EL212" s="97"/>
      <c r="EM212" s="97"/>
      <c r="EN212" s="97"/>
      <c r="EO212" s="97"/>
      <c r="EP212" s="97"/>
      <c r="EQ212" s="97"/>
      <c r="ER212" s="97"/>
      <c r="ES212" s="97"/>
      <c r="ET212" s="97"/>
      <c r="EU212" s="97"/>
      <c r="EV212" s="97"/>
      <c r="EW212" s="97"/>
      <c r="EX212" s="97"/>
      <c r="EY212" s="97"/>
      <c r="EZ212" s="97"/>
      <c r="FA212" s="97"/>
      <c r="FB212" s="97"/>
      <c r="FC212" s="97"/>
      <c r="FD212" s="97"/>
      <c r="FE212" s="97"/>
      <c r="FF212" s="97"/>
      <c r="FG212" s="97"/>
      <c r="FH212" s="97"/>
      <c r="FI212" s="97"/>
      <c r="FJ212" s="97"/>
      <c r="FK212" s="97"/>
      <c r="FL212" s="97"/>
      <c r="FM212" s="97"/>
      <c r="FN212" s="97"/>
      <c r="FO212" s="97"/>
      <c r="FP212" s="97"/>
      <c r="FQ212" s="97"/>
      <c r="FR212" s="97"/>
      <c r="FS212" s="97"/>
      <c r="FT212" s="97"/>
      <c r="FU212" s="97"/>
      <c r="FV212" s="97"/>
      <c r="FW212" s="97"/>
      <c r="FX212" s="97"/>
      <c r="FY212" s="97"/>
      <c r="FZ212" s="97"/>
      <c r="GA212" s="97"/>
      <c r="GB212" s="97"/>
      <c r="GC212" s="97"/>
      <c r="GD212" s="97"/>
      <c r="GE212" s="97"/>
      <c r="GF212" s="97"/>
      <c r="GG212" s="97"/>
      <c r="GH212" s="97"/>
      <c r="GI212" s="97"/>
      <c r="GJ212" s="97"/>
      <c r="GK212" s="97"/>
      <c r="GL212" s="97"/>
      <c r="GM212" s="97"/>
      <c r="GN212" s="97"/>
      <c r="GO212" s="97"/>
      <c r="GP212" s="97"/>
      <c r="GQ212" s="97"/>
      <c r="GR212" s="97"/>
      <c r="GS212" s="97"/>
      <c r="GT212" s="97"/>
      <c r="GU212" s="97"/>
      <c r="GV212" s="97"/>
      <c r="GW212" s="97"/>
      <c r="GX212" s="97"/>
      <c r="GY212" s="97"/>
      <c r="GZ212" s="97"/>
      <c r="HA212" s="97"/>
    </row>
    <row r="213" spans="110:209" s="59" customFormat="1" ht="13.5" hidden="1">
      <c r="DF213" s="97"/>
      <c r="DG213" s="97"/>
      <c r="DH213" s="97"/>
      <c r="DI213" s="97"/>
      <c r="DJ213" s="97"/>
      <c r="DK213" s="97"/>
      <c r="DL213" s="97"/>
      <c r="DM213" s="97"/>
      <c r="DN213" s="97"/>
      <c r="DO213" s="97"/>
      <c r="DP213" s="97"/>
      <c r="DQ213" s="97"/>
      <c r="DR213" s="97"/>
      <c r="DS213" s="97"/>
      <c r="DT213" s="97"/>
      <c r="DU213" s="97"/>
      <c r="DV213" s="97"/>
      <c r="DW213" s="97"/>
      <c r="DX213" s="97"/>
      <c r="DY213" s="97"/>
      <c r="DZ213" s="97"/>
      <c r="EA213" s="97"/>
      <c r="EB213" s="97"/>
      <c r="EC213" s="97"/>
      <c r="ED213" s="97"/>
      <c r="EE213" s="97"/>
      <c r="EF213" s="97"/>
      <c r="EG213" s="97"/>
      <c r="EH213" s="97"/>
      <c r="EI213" s="97"/>
      <c r="EJ213" s="97"/>
      <c r="EK213" s="97"/>
      <c r="EL213" s="97"/>
      <c r="EM213" s="97"/>
      <c r="EN213" s="97"/>
      <c r="EO213" s="97"/>
      <c r="EP213" s="97"/>
      <c r="EQ213" s="97"/>
      <c r="ER213" s="97"/>
      <c r="ES213" s="97"/>
      <c r="ET213" s="97"/>
      <c r="EU213" s="97"/>
      <c r="EV213" s="97"/>
      <c r="EW213" s="97"/>
      <c r="EX213" s="97"/>
      <c r="EY213" s="97"/>
      <c r="EZ213" s="97"/>
      <c r="FA213" s="97"/>
      <c r="FB213" s="97"/>
      <c r="FC213" s="97"/>
      <c r="FD213" s="97"/>
      <c r="FE213" s="97"/>
      <c r="FF213" s="97"/>
      <c r="FG213" s="97"/>
      <c r="FH213" s="97"/>
      <c r="FI213" s="97"/>
      <c r="FJ213" s="97"/>
      <c r="FK213" s="97"/>
      <c r="FL213" s="97"/>
      <c r="FM213" s="97"/>
      <c r="FN213" s="97"/>
      <c r="FO213" s="97"/>
      <c r="FP213" s="97"/>
      <c r="FQ213" s="97"/>
      <c r="FR213" s="97"/>
      <c r="FS213" s="97"/>
      <c r="FT213" s="97"/>
      <c r="FU213" s="97"/>
      <c r="FV213" s="97"/>
      <c r="FW213" s="97"/>
      <c r="FX213" s="97"/>
      <c r="FY213" s="97"/>
      <c r="FZ213" s="97"/>
      <c r="GA213" s="97"/>
      <c r="GB213" s="97"/>
      <c r="GC213" s="97"/>
      <c r="GD213" s="97"/>
      <c r="GE213" s="97"/>
      <c r="GF213" s="97"/>
      <c r="GG213" s="97"/>
      <c r="GH213" s="97"/>
      <c r="GI213" s="97"/>
      <c r="GJ213" s="97"/>
      <c r="GK213" s="97"/>
      <c r="GL213" s="97"/>
      <c r="GM213" s="97"/>
      <c r="GN213" s="97"/>
      <c r="GO213" s="97"/>
      <c r="GP213" s="97"/>
      <c r="GQ213" s="97"/>
      <c r="GR213" s="97"/>
      <c r="GS213" s="97"/>
      <c r="GT213" s="97"/>
      <c r="GU213" s="97"/>
      <c r="GV213" s="97"/>
      <c r="GW213" s="97"/>
      <c r="GX213" s="97"/>
      <c r="GY213" s="97"/>
      <c r="GZ213" s="97"/>
      <c r="HA213" s="97"/>
    </row>
    <row r="214" spans="110:209" s="59" customFormat="1" ht="18.75" hidden="1">
      <c r="DF214" s="97"/>
      <c r="DG214" s="97"/>
      <c r="DH214" s="97"/>
      <c r="DI214" s="97"/>
      <c r="DJ214" s="220"/>
      <c r="DK214" s="99"/>
      <c r="DL214" s="99"/>
      <c r="DM214" s="99"/>
      <c r="DN214" s="99"/>
      <c r="DO214" s="99"/>
      <c r="DP214" s="99"/>
      <c r="DQ214" s="97"/>
      <c r="DR214" s="97"/>
      <c r="DS214" s="97"/>
      <c r="DT214" s="97"/>
      <c r="DU214" s="97"/>
      <c r="DV214" s="97"/>
      <c r="DW214" s="97"/>
      <c r="DX214" s="97"/>
      <c r="DY214" s="97"/>
      <c r="DZ214" s="97"/>
      <c r="EA214" s="97"/>
      <c r="EB214" s="97"/>
      <c r="EC214" s="97"/>
      <c r="ED214" s="97"/>
      <c r="EE214" s="97"/>
      <c r="EF214" s="97"/>
      <c r="EG214" s="97"/>
      <c r="EH214" s="97"/>
      <c r="EI214" s="97"/>
      <c r="EJ214" s="97"/>
      <c r="EK214" s="97"/>
      <c r="EL214" s="97"/>
      <c r="EM214" s="97"/>
      <c r="EN214" s="97"/>
      <c r="EO214" s="97"/>
      <c r="EP214" s="97"/>
      <c r="EQ214" s="97"/>
      <c r="ER214" s="97"/>
      <c r="ES214" s="97"/>
      <c r="ET214" s="97"/>
      <c r="EU214" s="97"/>
      <c r="EV214" s="97"/>
      <c r="EW214" s="97"/>
      <c r="EX214" s="97"/>
      <c r="EY214" s="97"/>
      <c r="EZ214" s="97"/>
      <c r="FA214" s="97"/>
      <c r="FB214" s="97"/>
      <c r="FC214" s="97"/>
      <c r="FD214" s="97"/>
      <c r="FE214" s="97"/>
      <c r="FF214" s="97"/>
      <c r="FG214" s="97"/>
      <c r="FH214" s="97"/>
      <c r="FI214" s="97"/>
      <c r="FJ214" s="97"/>
      <c r="FK214" s="97"/>
      <c r="FL214" s="97"/>
      <c r="FM214" s="97"/>
      <c r="FN214" s="97"/>
      <c r="FO214" s="97"/>
      <c r="FP214" s="97"/>
      <c r="FQ214" s="97"/>
      <c r="FR214" s="97"/>
      <c r="FS214" s="97"/>
      <c r="FT214" s="97"/>
      <c r="FU214" s="97"/>
      <c r="FV214" s="97"/>
      <c r="FW214" s="97"/>
      <c r="FX214" s="97"/>
      <c r="FY214" s="97"/>
      <c r="FZ214" s="97"/>
      <c r="GA214" s="97"/>
      <c r="GB214" s="97"/>
      <c r="GC214" s="97"/>
      <c r="GD214" s="97"/>
      <c r="GE214" s="97"/>
      <c r="GF214" s="97"/>
      <c r="GG214" s="97"/>
      <c r="GH214" s="97"/>
      <c r="GI214" s="97"/>
      <c r="GJ214" s="97"/>
      <c r="GK214" s="97"/>
      <c r="GL214" s="97"/>
      <c r="GM214" s="97"/>
      <c r="GN214" s="97"/>
      <c r="GO214" s="97"/>
      <c r="GP214" s="97"/>
      <c r="GQ214" s="97"/>
      <c r="GR214" s="97"/>
      <c r="GS214" s="97"/>
      <c r="GT214" s="97"/>
      <c r="GU214" s="97"/>
      <c r="GV214" s="97"/>
      <c r="GW214" s="97"/>
      <c r="GX214" s="97"/>
      <c r="GY214" s="97"/>
      <c r="GZ214" s="97"/>
      <c r="HA214" s="97"/>
    </row>
    <row r="215" spans="110:209" s="59" customFormat="1" ht="13.5" hidden="1">
      <c r="DF215" s="98"/>
      <c r="DG215" s="98"/>
      <c r="DH215" s="98"/>
      <c r="DI215" s="98"/>
      <c r="DJ215" s="98"/>
      <c r="DK215" s="98"/>
      <c r="DL215" s="98"/>
      <c r="DM215" s="98"/>
      <c r="DN215" s="98"/>
      <c r="DO215" s="97"/>
      <c r="DP215" s="97"/>
      <c r="DQ215" s="97"/>
      <c r="DR215" s="97"/>
      <c r="DS215" s="97"/>
      <c r="DT215" s="97"/>
      <c r="DU215" s="97"/>
      <c r="DV215" s="97"/>
      <c r="DW215" s="97"/>
      <c r="DX215" s="97"/>
      <c r="DY215" s="97"/>
      <c r="DZ215" s="97"/>
      <c r="EA215" s="97"/>
      <c r="EB215" s="97"/>
      <c r="EC215" s="97"/>
      <c r="ED215" s="97"/>
      <c r="EE215" s="97"/>
      <c r="EF215" s="97"/>
      <c r="EG215" s="97"/>
      <c r="EH215" s="97"/>
      <c r="EI215" s="97"/>
      <c r="EJ215" s="97"/>
      <c r="EK215" s="97"/>
      <c r="EL215" s="97"/>
      <c r="EM215" s="97"/>
      <c r="EN215" s="97"/>
      <c r="EO215" s="97"/>
      <c r="EP215" s="97"/>
      <c r="EQ215" s="97"/>
      <c r="ER215" s="97"/>
      <c r="ES215" s="97"/>
      <c r="ET215" s="97"/>
      <c r="EU215" s="97"/>
      <c r="EV215" s="97"/>
      <c r="EW215" s="97"/>
      <c r="EX215" s="97"/>
      <c r="EY215" s="97"/>
      <c r="EZ215" s="97"/>
      <c r="FA215" s="97"/>
      <c r="FB215" s="97"/>
      <c r="FC215" s="97"/>
      <c r="FD215" s="97"/>
      <c r="FE215" s="97"/>
      <c r="FF215" s="97"/>
      <c r="FG215" s="97"/>
      <c r="FH215" s="97"/>
      <c r="FI215" s="97"/>
      <c r="FJ215" s="97"/>
      <c r="FK215" s="97"/>
      <c r="FL215" s="97"/>
      <c r="FM215" s="97"/>
      <c r="FN215" s="97"/>
      <c r="FO215" s="97"/>
      <c r="FP215" s="97"/>
      <c r="FQ215" s="97"/>
      <c r="FR215" s="97"/>
      <c r="FS215" s="97"/>
      <c r="FT215" s="97"/>
      <c r="FU215" s="97"/>
      <c r="FV215" s="97"/>
      <c r="FW215" s="97"/>
      <c r="FX215" s="97"/>
      <c r="FY215" s="97"/>
      <c r="FZ215" s="97"/>
      <c r="GA215" s="97"/>
      <c r="GB215" s="97"/>
      <c r="GC215" s="97"/>
      <c r="GD215" s="97"/>
      <c r="GE215" s="97"/>
      <c r="GF215" s="97"/>
      <c r="GG215" s="97"/>
      <c r="GH215" s="97"/>
      <c r="GI215" s="97"/>
      <c r="GJ215" s="97"/>
      <c r="GK215" s="97"/>
      <c r="GL215" s="97"/>
      <c r="GM215" s="97"/>
      <c r="GN215" s="97"/>
      <c r="GO215" s="97"/>
      <c r="GP215" s="97"/>
      <c r="GQ215" s="97"/>
      <c r="GR215" s="97"/>
      <c r="GS215" s="97"/>
      <c r="GT215" s="97"/>
      <c r="GU215" s="97"/>
      <c r="GV215" s="97"/>
      <c r="GW215" s="97"/>
      <c r="GX215" s="97"/>
      <c r="GY215" s="97"/>
      <c r="GZ215" s="97"/>
      <c r="HA215" s="97"/>
    </row>
    <row r="216" s="59" customFormat="1" ht="13.5" hidden="1"/>
    <row r="217" s="59" customFormat="1" ht="13.5" hidden="1"/>
    <row r="218" s="59" customFormat="1" ht="13.5" hidden="1"/>
    <row r="219" s="59" customFormat="1" ht="13.5" hidden="1"/>
    <row r="220" spans="7:108" s="291" customFormat="1" ht="23.25" customHeight="1" hidden="1">
      <c r="G220" s="291">
        <v>1</v>
      </c>
      <c r="H220" s="291">
        <v>2</v>
      </c>
      <c r="I220" s="291">
        <v>3</v>
      </c>
      <c r="J220" s="291">
        <v>4</v>
      </c>
      <c r="K220" s="291">
        <v>5</v>
      </c>
      <c r="L220" s="291">
        <v>6</v>
      </c>
      <c r="M220" s="291">
        <v>7</v>
      </c>
      <c r="Q220" s="291">
        <v>8</v>
      </c>
      <c r="R220" s="291">
        <v>9</v>
      </c>
      <c r="S220" s="291">
        <v>10</v>
      </c>
      <c r="T220" s="291">
        <v>11</v>
      </c>
      <c r="U220" s="291">
        <v>12</v>
      </c>
      <c r="V220" s="291">
        <v>13</v>
      </c>
      <c r="W220" s="291">
        <v>14</v>
      </c>
      <c r="X220" s="291">
        <v>15</v>
      </c>
      <c r="Y220" s="291">
        <v>16</v>
      </c>
      <c r="Z220" s="291">
        <v>17</v>
      </c>
      <c r="AA220" s="291">
        <v>18</v>
      </c>
      <c r="AB220" s="291">
        <v>19</v>
      </c>
      <c r="AC220" s="291">
        <v>20</v>
      </c>
      <c r="AD220" s="291">
        <v>21</v>
      </c>
      <c r="AE220" s="291">
        <v>22</v>
      </c>
      <c r="AF220" s="291">
        <v>23</v>
      </c>
      <c r="AG220" s="291">
        <v>24</v>
      </c>
      <c r="AH220" s="291">
        <v>25</v>
      </c>
      <c r="AI220" s="291">
        <v>26</v>
      </c>
      <c r="AJ220" s="291">
        <v>27</v>
      </c>
      <c r="AK220" s="291">
        <v>28</v>
      </c>
      <c r="AL220" s="291">
        <v>29</v>
      </c>
      <c r="AM220" s="291">
        <v>30</v>
      </c>
      <c r="AN220" s="291">
        <v>31</v>
      </c>
      <c r="AO220" s="291">
        <v>32</v>
      </c>
      <c r="AP220" s="291">
        <v>33</v>
      </c>
      <c r="AQ220" s="291">
        <v>34</v>
      </c>
      <c r="AR220" s="291">
        <v>35</v>
      </c>
      <c r="AS220" s="291">
        <v>36</v>
      </c>
      <c r="AT220" s="291">
        <v>37</v>
      </c>
      <c r="AU220" s="291">
        <v>38</v>
      </c>
      <c r="AV220" s="291">
        <v>39</v>
      </c>
      <c r="AW220" s="291">
        <v>40</v>
      </c>
      <c r="AX220" s="291">
        <v>41</v>
      </c>
      <c r="AY220" s="291">
        <v>42</v>
      </c>
      <c r="AZ220" s="291">
        <v>43</v>
      </c>
      <c r="BA220" s="291">
        <v>44</v>
      </c>
      <c r="BB220" s="291">
        <v>45</v>
      </c>
      <c r="BC220" s="291">
        <v>46</v>
      </c>
      <c r="BD220" s="291">
        <v>47</v>
      </c>
      <c r="BE220" s="291">
        <v>48</v>
      </c>
      <c r="BF220" s="291">
        <v>49</v>
      </c>
      <c r="BG220" s="291">
        <v>50</v>
      </c>
      <c r="BH220" s="291">
        <v>51</v>
      </c>
      <c r="BI220" s="291">
        <v>52</v>
      </c>
      <c r="BJ220" s="291">
        <v>53</v>
      </c>
      <c r="BK220" s="291">
        <v>54</v>
      </c>
      <c r="BL220" s="291">
        <v>55</v>
      </c>
      <c r="BM220" s="291">
        <v>56</v>
      </c>
      <c r="BN220" s="291">
        <v>57</v>
      </c>
      <c r="BO220" s="291">
        <v>58</v>
      </c>
      <c r="BP220" s="291">
        <v>59</v>
      </c>
      <c r="BQ220" s="291">
        <v>60</v>
      </c>
      <c r="BR220" s="291">
        <v>61</v>
      </c>
      <c r="BS220" s="291">
        <v>62</v>
      </c>
      <c r="BT220" s="291">
        <v>63</v>
      </c>
      <c r="BU220" s="291">
        <v>64</v>
      </c>
      <c r="BV220" s="291">
        <v>65</v>
      </c>
      <c r="BW220" s="291">
        <v>66</v>
      </c>
      <c r="BX220" s="291">
        <v>67</v>
      </c>
      <c r="BY220" s="291">
        <v>68</v>
      </c>
      <c r="BZ220" s="291">
        <v>69</v>
      </c>
      <c r="CA220" s="291">
        <v>70</v>
      </c>
      <c r="CB220" s="291">
        <v>71</v>
      </c>
      <c r="CC220" s="291">
        <v>72</v>
      </c>
      <c r="CD220" s="291">
        <v>73</v>
      </c>
      <c r="CE220" s="291">
        <v>74</v>
      </c>
      <c r="CF220" s="291">
        <v>75</v>
      </c>
      <c r="CG220" s="291">
        <v>76</v>
      </c>
      <c r="CH220" s="291">
        <v>77</v>
      </c>
      <c r="CI220" s="291">
        <v>78</v>
      </c>
      <c r="CJ220" s="291">
        <v>79</v>
      </c>
      <c r="CK220" s="291">
        <v>80</v>
      </c>
      <c r="CL220" s="291">
        <v>81</v>
      </c>
      <c r="CM220" s="291">
        <v>82</v>
      </c>
      <c r="CN220" s="291">
        <v>83</v>
      </c>
      <c r="CO220" s="291">
        <v>84</v>
      </c>
      <c r="CP220" s="291">
        <v>85</v>
      </c>
      <c r="CQ220" s="291">
        <v>86</v>
      </c>
      <c r="CR220" s="291">
        <v>87</v>
      </c>
      <c r="CS220" s="291">
        <v>88</v>
      </c>
      <c r="CT220" s="291">
        <v>89</v>
      </c>
      <c r="CU220" s="291">
        <v>90</v>
      </c>
      <c r="CV220" s="291">
        <v>91</v>
      </c>
      <c r="CW220" s="291">
        <v>92</v>
      </c>
      <c r="CX220" s="291">
        <v>93</v>
      </c>
      <c r="CY220" s="291">
        <v>94</v>
      </c>
      <c r="CZ220" s="291">
        <v>95</v>
      </c>
      <c r="DA220" s="291">
        <v>96</v>
      </c>
      <c r="DB220" s="291">
        <v>97</v>
      </c>
      <c r="DC220" s="291">
        <v>98</v>
      </c>
      <c r="DD220" s="291">
        <v>99</v>
      </c>
    </row>
    <row r="221" spans="7:108" s="291" customFormat="1" ht="23.25" customHeight="1" hidden="1">
      <c r="G221" s="291" t="s">
        <v>394</v>
      </c>
      <c r="H221" s="291" t="s">
        <v>395</v>
      </c>
      <c r="I221" s="291" t="s">
        <v>396</v>
      </c>
      <c r="J221" s="291" t="s">
        <v>397</v>
      </c>
      <c r="K221" s="291" t="s">
        <v>398</v>
      </c>
      <c r="L221" s="291" t="s">
        <v>399</v>
      </c>
      <c r="M221" s="291" t="s">
        <v>400</v>
      </c>
      <c r="Q221" s="291" t="s">
        <v>401</v>
      </c>
      <c r="R221" s="291" t="s">
        <v>402</v>
      </c>
      <c r="S221" s="291" t="s">
        <v>403</v>
      </c>
      <c r="T221" s="291" t="s">
        <v>404</v>
      </c>
      <c r="U221" s="291" t="s">
        <v>405</v>
      </c>
      <c r="V221" s="291" t="s">
        <v>406</v>
      </c>
      <c r="W221" s="291" t="s">
        <v>407</v>
      </c>
      <c r="X221" s="291" t="s">
        <v>408</v>
      </c>
      <c r="Y221" s="291" t="s">
        <v>409</v>
      </c>
      <c r="Z221" s="291" t="s">
        <v>410</v>
      </c>
      <c r="AA221" s="291" t="s">
        <v>411</v>
      </c>
      <c r="AB221" s="291" t="s">
        <v>412</v>
      </c>
      <c r="AC221" s="291" t="s">
        <v>413</v>
      </c>
      <c r="AD221" s="291" t="s">
        <v>414</v>
      </c>
      <c r="AE221" s="291" t="s">
        <v>415</v>
      </c>
      <c r="AF221" s="291" t="s">
        <v>416</v>
      </c>
      <c r="AG221" s="291" t="s">
        <v>417</v>
      </c>
      <c r="AH221" s="291" t="s">
        <v>418</v>
      </c>
      <c r="AI221" s="291" t="s">
        <v>419</v>
      </c>
      <c r="AJ221" s="291" t="s">
        <v>420</v>
      </c>
      <c r="AK221" s="291" t="s">
        <v>421</v>
      </c>
      <c r="AL221" s="291" t="s">
        <v>422</v>
      </c>
      <c r="AM221" s="291" t="s">
        <v>423</v>
      </c>
      <c r="AN221" s="291" t="s">
        <v>424</v>
      </c>
      <c r="AO221" s="291" t="s">
        <v>425</v>
      </c>
      <c r="AP221" s="291" t="s">
        <v>426</v>
      </c>
      <c r="AQ221" s="291" t="s">
        <v>427</v>
      </c>
      <c r="AR221" s="291" t="s">
        <v>428</v>
      </c>
      <c r="AS221" s="291" t="s">
        <v>429</v>
      </c>
      <c r="AT221" s="291" t="s">
        <v>430</v>
      </c>
      <c r="AU221" s="291" t="s">
        <v>431</v>
      </c>
      <c r="AV221" s="291" t="s">
        <v>432</v>
      </c>
      <c r="AW221" s="291" t="s">
        <v>433</v>
      </c>
      <c r="AX221" s="291" t="s">
        <v>434</v>
      </c>
      <c r="AY221" s="291" t="s">
        <v>435</v>
      </c>
      <c r="AZ221" s="291" t="s">
        <v>436</v>
      </c>
      <c r="BA221" s="291" t="s">
        <v>437</v>
      </c>
      <c r="BB221" s="291" t="s">
        <v>438</v>
      </c>
      <c r="BC221" s="291" t="s">
        <v>439</v>
      </c>
      <c r="BD221" s="291" t="s">
        <v>440</v>
      </c>
      <c r="BE221" s="291" t="s">
        <v>441</v>
      </c>
      <c r="BF221" s="291" t="s">
        <v>442</v>
      </c>
      <c r="BG221" s="291" t="s">
        <v>443</v>
      </c>
      <c r="BH221" s="291" t="s">
        <v>444</v>
      </c>
      <c r="BI221" s="291" t="s">
        <v>445</v>
      </c>
      <c r="BJ221" s="291" t="s">
        <v>446</v>
      </c>
      <c r="BK221" s="291" t="s">
        <v>447</v>
      </c>
      <c r="BL221" s="291" t="s">
        <v>448</v>
      </c>
      <c r="BM221" s="291" t="s">
        <v>449</v>
      </c>
      <c r="BN221" s="291" t="s">
        <v>450</v>
      </c>
      <c r="BO221" s="291" t="s">
        <v>451</v>
      </c>
      <c r="BP221" s="291" t="s">
        <v>452</v>
      </c>
      <c r="BQ221" s="291" t="s">
        <v>453</v>
      </c>
      <c r="BR221" s="291" t="s">
        <v>454</v>
      </c>
      <c r="BS221" s="291" t="s">
        <v>455</v>
      </c>
      <c r="BT221" s="291" t="s">
        <v>456</v>
      </c>
      <c r="BU221" s="291" t="s">
        <v>457</v>
      </c>
      <c r="BV221" s="291" t="s">
        <v>458</v>
      </c>
      <c r="BW221" s="291" t="s">
        <v>459</v>
      </c>
      <c r="BX221" s="291" t="s">
        <v>460</v>
      </c>
      <c r="BY221" s="291" t="s">
        <v>461</v>
      </c>
      <c r="BZ221" s="291" t="s">
        <v>462</v>
      </c>
      <c r="CA221" s="291" t="s">
        <v>463</v>
      </c>
      <c r="CB221" s="291" t="s">
        <v>464</v>
      </c>
      <c r="CC221" s="291" t="s">
        <v>465</v>
      </c>
      <c r="CD221" s="291" t="s">
        <v>466</v>
      </c>
      <c r="CE221" s="291" t="s">
        <v>467</v>
      </c>
      <c r="CF221" s="291" t="s">
        <v>468</v>
      </c>
      <c r="CG221" s="291" t="s">
        <v>469</v>
      </c>
      <c r="CH221" s="291" t="s">
        <v>470</v>
      </c>
      <c r="CI221" s="291" t="s">
        <v>471</v>
      </c>
      <c r="CJ221" s="291" t="s">
        <v>472</v>
      </c>
      <c r="CK221" s="291" t="s">
        <v>473</v>
      </c>
      <c r="CL221" s="291" t="s">
        <v>474</v>
      </c>
      <c r="CM221" s="291" t="s">
        <v>475</v>
      </c>
      <c r="CN221" s="291" t="s">
        <v>476</v>
      </c>
      <c r="CO221" s="291" t="s">
        <v>477</v>
      </c>
      <c r="CP221" s="291" t="s">
        <v>478</v>
      </c>
      <c r="CQ221" s="291" t="s">
        <v>479</v>
      </c>
      <c r="CR221" s="291" t="s">
        <v>480</v>
      </c>
      <c r="CS221" s="291" t="s">
        <v>481</v>
      </c>
      <c r="CT221" s="291" t="s">
        <v>482</v>
      </c>
      <c r="CU221" s="291" t="s">
        <v>483</v>
      </c>
      <c r="CV221" s="291" t="s">
        <v>484</v>
      </c>
      <c r="CW221" s="291" t="s">
        <v>485</v>
      </c>
      <c r="CX221" s="291" t="s">
        <v>486</v>
      </c>
      <c r="CY221" s="291" t="s">
        <v>487</v>
      </c>
      <c r="CZ221" s="291" t="s">
        <v>488</v>
      </c>
      <c r="DA221" s="291" t="s">
        <v>489</v>
      </c>
      <c r="DB221" s="291" t="s">
        <v>490</v>
      </c>
      <c r="DC221" s="291" t="s">
        <v>491</v>
      </c>
      <c r="DD221" s="291" t="s">
        <v>492</v>
      </c>
    </row>
    <row r="222" s="291" customFormat="1" ht="23.25" customHeight="1" hidden="1"/>
    <row r="223" s="291" customFormat="1" ht="23.25" customHeight="1" hidden="1"/>
    <row r="224" spans="18:19" s="291" customFormat="1" ht="23.25" customHeight="1" hidden="1">
      <c r="R224" s="792"/>
      <c r="S224" s="792"/>
    </row>
    <row r="225" spans="5:23" s="291" customFormat="1" ht="12" customHeight="1" hidden="1">
      <c r="E225" s="292"/>
      <c r="V225" s="297"/>
      <c r="W225" s="297"/>
    </row>
    <row r="226" spans="5:23" s="291" customFormat="1" ht="17.25" customHeight="1" hidden="1">
      <c r="E226" s="292"/>
      <c r="V226" s="298"/>
      <c r="W226" s="298"/>
    </row>
    <row r="227" spans="5:23" s="291" customFormat="1" ht="17.25" customHeight="1" hidden="1">
      <c r="E227" s="292"/>
      <c r="V227" s="297"/>
      <c r="W227" s="299"/>
    </row>
    <row r="228" s="291" customFormat="1" ht="29.25" customHeight="1" hidden="1">
      <c r="E228" s="292"/>
    </row>
    <row r="229" s="291" customFormat="1" ht="15" customHeight="1" hidden="1"/>
    <row r="230" s="291" customFormat="1" ht="15" customHeight="1" hidden="1"/>
    <row r="231" s="291" customFormat="1" ht="15" customHeight="1" hidden="1"/>
    <row r="232" s="291" customFormat="1" ht="15" customHeight="1" hidden="1"/>
    <row r="233" spans="5:6" s="291" customFormat="1" ht="27.75" customHeight="1" hidden="1">
      <c r="E233" s="293" t="s">
        <v>502</v>
      </c>
      <c r="F233" s="293" t="s">
        <v>503</v>
      </c>
    </row>
    <row r="234" spans="5:21" s="291" customFormat="1" ht="34.5" customHeight="1" hidden="1">
      <c r="E234" s="294">
        <f>M25</f>
        <v>9825</v>
      </c>
      <c r="F234" s="295" t="str">
        <f>IF(E234="","",CONCATENATE("(",U234," rupees only)"))</f>
        <v>(Nine Thousand Eight Hundred and Twenty five rupees only)</v>
      </c>
      <c r="G234" s="291">
        <f>INT(E234/100000)</f>
        <v>0</v>
      </c>
      <c r="H234" s="291">
        <f>INT(E234/1000-G234*100)</f>
        <v>9</v>
      </c>
      <c r="I234" s="291">
        <f>INT(E234/100-G234*1000-H234*10)</f>
        <v>8</v>
      </c>
      <c r="J234" s="291">
        <f>INT(E234-G234*100000-H234*1000-I234*100)</f>
        <v>25</v>
      </c>
      <c r="K234" s="291">
        <f>IF(G234=0,"",HLOOKUP(G234,G220:DQ221,2,0))</f>
      </c>
      <c r="L234" s="291" t="str">
        <f>IF(H234=0,"",HLOOKUP(H234,G220:DD221,2,0))</f>
        <v>Nine</v>
      </c>
      <c r="M234" s="291" t="str">
        <f>IF(I234=0,"",HLOOKUP(I234,G220:DD221,2,0))</f>
        <v>Eight</v>
      </c>
      <c r="N234" s="291" t="str">
        <f>IF(J234=0,"",HLOOKUP(J234,G220:DD221,2,0))</f>
        <v>Twenty five</v>
      </c>
      <c r="O234" s="291">
        <f>IF(AND(I234=0,J234=0),1,2)</f>
        <v>2</v>
      </c>
      <c r="P234" s="291">
        <f>IF(J234=0,3,4)</f>
        <v>4</v>
      </c>
      <c r="Q234" s="291">
        <f>IF(OR(O234=1,P234=3),5,6)</f>
        <v>6</v>
      </c>
      <c r="R234" s="291">
        <f>IF(G234&gt;1," Lakhs ",IF(G234&gt;0," Lakh ",""))</f>
      </c>
      <c r="S234" s="291" t="str">
        <f>IF(H234&gt;0," Thousand ","")</f>
        <v> Thousand </v>
      </c>
      <c r="T234" s="291" t="str">
        <f>IF(I234&gt;0," Hundred ","")</f>
        <v> Hundred </v>
      </c>
      <c r="U234" s="296" t="str">
        <f>IF(E234=0,"Zero",IF(E234&gt;0,TRIM(CONCATENATE(K234,R234,L234,S234,M234,T234,IF(AND(E234&gt;100,Q234=6)," and ",""),N234)),""))</f>
        <v>Nine Thousand Eight Hundred and Twenty five</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9B76" sheet="1" selectLockedCells="1" selectUnlockedCells="1"/>
  <protectedRanges>
    <protectedRange sqref="B2:M58" name="Range1"/>
  </protectedRanges>
  <mergeCells count="55">
    <mergeCell ref="C2:G2"/>
    <mergeCell ref="H2:I2"/>
    <mergeCell ref="C3:G3"/>
    <mergeCell ref="H3:I3"/>
    <mergeCell ref="C13:I13"/>
    <mergeCell ref="C15:I15"/>
    <mergeCell ref="H32:I32"/>
    <mergeCell ref="H31:I31"/>
    <mergeCell ref="C11:G11"/>
    <mergeCell ref="C19:I19"/>
    <mergeCell ref="C10:G10"/>
    <mergeCell ref="C16:I16"/>
    <mergeCell ref="C25:G25"/>
    <mergeCell ref="B28:M28"/>
    <mergeCell ref="B29:M29"/>
    <mergeCell ref="L39:M39"/>
    <mergeCell ref="C31:D31"/>
    <mergeCell ref="C17:I17"/>
    <mergeCell ref="C18:I18"/>
    <mergeCell ref="L31:M31"/>
    <mergeCell ref="C33:D33"/>
    <mergeCell ref="H33:I33"/>
    <mergeCell ref="L33:M33"/>
    <mergeCell ref="L32:M32"/>
    <mergeCell ref="C20:I20"/>
    <mergeCell ref="L41:M41"/>
    <mergeCell ref="C41:D41"/>
    <mergeCell ref="C44:D44"/>
    <mergeCell ref="H44:I44"/>
    <mergeCell ref="L44:M44"/>
    <mergeCell ref="C22:I22"/>
    <mergeCell ref="D23:I23"/>
    <mergeCell ref="D24:I24"/>
    <mergeCell ref="C39:D39"/>
    <mergeCell ref="H39:I39"/>
    <mergeCell ref="L45:M45"/>
    <mergeCell ref="C45:D45"/>
    <mergeCell ref="H45:I45"/>
    <mergeCell ref="R224:S224"/>
    <mergeCell ref="H58:K58"/>
    <mergeCell ref="H46:I46"/>
    <mergeCell ref="B47:M51"/>
    <mergeCell ref="B56:C56"/>
    <mergeCell ref="B57:C57"/>
    <mergeCell ref="D57:E57"/>
    <mergeCell ref="H57:K57"/>
    <mergeCell ref="C8:G8"/>
    <mergeCell ref="C9:G9"/>
    <mergeCell ref="C4:G4"/>
    <mergeCell ref="C5:G5"/>
    <mergeCell ref="C6:G6"/>
    <mergeCell ref="C7:G7"/>
    <mergeCell ref="H41:I41"/>
    <mergeCell ref="C21:I21"/>
    <mergeCell ref="C32:D32"/>
  </mergeCells>
  <printOptions horizontalCentered="1" verticalCentered="1"/>
  <pageMargins left="0.7" right="0.45" top="0.75" bottom="0.75"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venu</cp:lastModifiedBy>
  <cp:lastPrinted>2015-02-04T17:19:59Z</cp:lastPrinted>
  <dcterms:created xsi:type="dcterms:W3CDTF">2001-12-31T19:03:00Z</dcterms:created>
  <dcterms:modified xsi:type="dcterms:W3CDTF">2015-02-04T17:23:06Z</dcterms:modified>
  <cp:category/>
  <cp:version/>
  <cp:contentType/>
  <cp:contentStatus/>
</cp:coreProperties>
</file>