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 codeName="ThisWorkbook"/>
  <workbookProtection workbookPassword="C6B1" lockStructure="1"/>
  <bookViews>
    <workbookView xWindow="0" yWindow="120" windowWidth="20490" windowHeight="7500" tabRatio="858" firstSheet="1" activeTab="1"/>
  </bookViews>
  <sheets>
    <sheet name="PRO" sheetId="17" state="hidden" r:id="rId1"/>
    <sheet name="DATA" sheetId="19" r:id="rId2"/>
    <sheet name="ANNEXURE I" sheetId="23" r:id="rId3"/>
    <sheet name="ANNEXURE II" sheetId="24" r:id="rId4"/>
    <sheet name="FORM16_FRONT" sheetId="26" r:id="rId5"/>
    <sheet name="FORM16_BACK" sheetId="27" r:id="rId6"/>
    <sheet name="FORM_10E" sheetId="31" r:id="rId7"/>
    <sheet name="FORM_12BB" sheetId="29" r:id="rId8"/>
    <sheet name="RENT RECEIPT" sheetId="32" r:id="rId9"/>
    <sheet name="RELIEF" sheetId="30" r:id="rId10"/>
  </sheets>
  <definedNames>
    <definedName name="AAS">PRO!$P$2:$P$84</definedName>
    <definedName name="AAS2017BP">PRO!$AP$39</definedName>
    <definedName name="AASM">PRO!$AR$18</definedName>
    <definedName name="AASM2017">PRO!$AR$21</definedName>
    <definedName name="AGI">PRO!$O$2:$O$84</definedName>
    <definedName name="AGIM">PRO!$AR$17</definedName>
    <definedName name="AGIM2017">PRO!$AR$20</definedName>
    <definedName name="BASICS">PRO!$N$2:$N$84</definedName>
    <definedName name="CMRF">PRO!$BU$12:$BU$20</definedName>
    <definedName name="DA1M">RELIEF!$B$32:$B$34</definedName>
    <definedName name="DA2M">RELIEF!$B$36:$B$38</definedName>
    <definedName name="DATES">PRO!$BV$2:$BV$33</definedName>
    <definedName name="DAYS">PRO!$BS$2:$BS$33</definedName>
    <definedName name="Deduction_Months">PRO!$BL$4:$BL$15</definedName>
    <definedName name="EL_MONTH">PRO!$BM$4:$BM$16</definedName>
    <definedName name="ELs">PRO!$BO$5:$BO$7</definedName>
    <definedName name="GENM2017">PRO!$AU$2:$AU$14</definedName>
    <definedName name="HOW">PRO!$AD$1</definedName>
    <definedName name="HPLM2017">PRO!$BQ$3:$BQ$14</definedName>
    <definedName name="HPLM2018">PRO!$BP$3:$BP$15</definedName>
    <definedName name="HRA">PRO!$BN$4:$BN$8</definedName>
    <definedName name="INC_AAS_MONTH">PRO!$AV$2:$AV$15</definedName>
    <definedName name="OTHER_SAVINGS_LIST">PRO!$AZ$3:$AZ$17</definedName>
    <definedName name="PH_SELECTION">PRO!$BN$11:$BN$14</definedName>
    <definedName name="_xlnm.Print_Area" localSheetId="2">'ANNEXURE I'!$B$2:$AA$27</definedName>
    <definedName name="_xlnm.Print_Area" localSheetId="3">'ANNEXURE II'!$B$2:$I$67</definedName>
    <definedName name="_xlnm.Print_Area" localSheetId="6">FORM_10E!$B$2:$Z$83</definedName>
    <definedName name="_xlnm.Print_Area" localSheetId="7">FORM_12BB!$B$2:$G$59</definedName>
    <definedName name="_xlnm.Print_Area" localSheetId="5">FORM16_BACK!$B$2:$J$50</definedName>
    <definedName name="_xlnm.Print_Area" localSheetId="4">FORM16_FRONT!$B$2:$J$72</definedName>
    <definedName name="PRO">PRO!$Q$2:$Q$84</definedName>
    <definedName name="PROM">PRO!$AR$19</definedName>
    <definedName name="PROTYPE">PRO!$AM$18</definedName>
    <definedName name="YES_NO">PRO!$BO$3:$BO$4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30" l="1"/>
  <c r="V19" i="30" s="1"/>
  <c r="H23" i="30"/>
  <c r="H28" i="30" s="1"/>
  <c r="V18" i="30"/>
  <c r="I28" i="30"/>
  <c r="I29" i="30"/>
  <c r="C10" i="30"/>
  <c r="D10" i="30"/>
  <c r="C11" i="30"/>
  <c r="D11" i="30"/>
  <c r="C12" i="30"/>
  <c r="D12" i="30"/>
  <c r="C13" i="30"/>
  <c r="D13" i="30"/>
  <c r="C14" i="30"/>
  <c r="D14" i="30"/>
  <c r="D15" i="30"/>
  <c r="D4" i="30"/>
  <c r="C15" i="30"/>
  <c r="D5" i="30"/>
  <c r="C4" i="30"/>
  <c r="C5" i="30"/>
  <c r="C6" i="30"/>
  <c r="D6" i="30"/>
  <c r="C7" i="30"/>
  <c r="D7" i="30"/>
  <c r="C8" i="30"/>
  <c r="D8" i="30"/>
  <c r="C9" i="30"/>
  <c r="D9" i="30"/>
  <c r="AR21" i="17"/>
  <c r="W30" i="17"/>
  <c r="AR20" i="17"/>
  <c r="U27" i="17"/>
  <c r="V27" i="17" s="1"/>
  <c r="V28" i="17" s="1"/>
  <c r="V29" i="17" s="1"/>
  <c r="W34" i="17"/>
  <c r="W37" i="17"/>
  <c r="AO26" i="17"/>
  <c r="AO27" i="17"/>
  <c r="AO31" i="17"/>
  <c r="W26" i="17"/>
  <c r="V26" i="17"/>
  <c r="V2" i="17"/>
  <c r="X2" i="17"/>
  <c r="AR17" i="17"/>
  <c r="U3" i="17" s="1"/>
  <c r="AR18" i="17"/>
  <c r="W3" i="17"/>
  <c r="AM18" i="17"/>
  <c r="W9" i="17"/>
  <c r="Y9" i="19"/>
  <c r="V9" i="19"/>
  <c r="Y3" i="19"/>
  <c r="V3" i="19"/>
  <c r="D5" i="23"/>
  <c r="E5" i="23"/>
  <c r="AA5" i="23"/>
  <c r="Z5" i="23"/>
  <c r="H5" i="23"/>
  <c r="L18" i="19"/>
  <c r="T16" i="19"/>
  <c r="K5" i="23"/>
  <c r="L5" i="23"/>
  <c r="M5" i="23"/>
  <c r="Y4" i="19"/>
  <c r="V4" i="19"/>
  <c r="B6" i="23"/>
  <c r="AA6" i="23"/>
  <c r="M6" i="23"/>
  <c r="Y5" i="19"/>
  <c r="V5" i="19"/>
  <c r="B7" i="23"/>
  <c r="AA7" i="23"/>
  <c r="M7" i="23"/>
  <c r="Y6" i="19"/>
  <c r="V6" i="19"/>
  <c r="B8" i="23"/>
  <c r="AA8" i="23"/>
  <c r="M8" i="23"/>
  <c r="Y7" i="19"/>
  <c r="V7" i="19"/>
  <c r="B9" i="23"/>
  <c r="AA9" i="23"/>
  <c r="M9" i="23"/>
  <c r="Y8" i="19"/>
  <c r="V8" i="19"/>
  <c r="B10" i="23"/>
  <c r="AA10" i="23"/>
  <c r="M10" i="23"/>
  <c r="B11" i="23"/>
  <c r="AA11" i="23"/>
  <c r="M11" i="23"/>
  <c r="Y10" i="19"/>
  <c r="V10" i="19"/>
  <c r="B12" i="23"/>
  <c r="AA12" i="23"/>
  <c r="M12" i="23"/>
  <c r="W12" i="17"/>
  <c r="Y11" i="19"/>
  <c r="V11" i="19"/>
  <c r="B13" i="23"/>
  <c r="AA13" i="23"/>
  <c r="M13" i="23"/>
  <c r="Y12" i="19"/>
  <c r="V12" i="19"/>
  <c r="B14" i="23"/>
  <c r="AA14" i="23"/>
  <c r="M14" i="23"/>
  <c r="W14" i="17"/>
  <c r="Y13" i="19"/>
  <c r="V13" i="19"/>
  <c r="B15" i="23"/>
  <c r="AA15" i="23"/>
  <c r="M15" i="23"/>
  <c r="Y14" i="19"/>
  <c r="V14" i="19"/>
  <c r="B16" i="23"/>
  <c r="I15" i="26"/>
  <c r="AA16" i="23"/>
  <c r="M16" i="23"/>
  <c r="AO13" i="17"/>
  <c r="O17" i="19"/>
  <c r="N19" i="23"/>
  <c r="W13" i="30"/>
  <c r="AI7" i="30" s="1"/>
  <c r="AO14" i="17"/>
  <c r="P17" i="19" s="1"/>
  <c r="F21" i="23" s="1"/>
  <c r="AO15" i="17"/>
  <c r="Q17" i="19" s="1"/>
  <c r="G21" i="23" s="1"/>
  <c r="AQ13" i="17"/>
  <c r="O19" i="19" s="1"/>
  <c r="C22" i="23" s="1"/>
  <c r="AQ14" i="17"/>
  <c r="P19" i="19" s="1"/>
  <c r="F22" i="23" s="1"/>
  <c r="AQ15" i="17"/>
  <c r="Q19" i="19" s="1"/>
  <c r="G22" i="23" s="1"/>
  <c r="N23" i="23"/>
  <c r="G24" i="23"/>
  <c r="N24" i="23"/>
  <c r="Y24" i="23"/>
  <c r="G19" i="23"/>
  <c r="M3" i="24"/>
  <c r="F13" i="29" s="1"/>
  <c r="G13" i="29" s="1"/>
  <c r="C19" i="23"/>
  <c r="F19" i="23"/>
  <c r="H14" i="24"/>
  <c r="H28" i="26"/>
  <c r="R5" i="23"/>
  <c r="R6" i="23"/>
  <c r="R19" i="23"/>
  <c r="O19" i="23" s="1"/>
  <c r="X19" i="23" s="1"/>
  <c r="H19" i="24"/>
  <c r="J37" i="26" s="1"/>
  <c r="H20" i="24"/>
  <c r="H21" i="24"/>
  <c r="J39" i="26"/>
  <c r="T5" i="23"/>
  <c r="T11" i="23"/>
  <c r="T13" i="23"/>
  <c r="T14" i="23"/>
  <c r="H25" i="24"/>
  <c r="H63" i="26"/>
  <c r="H69" i="26" s="1"/>
  <c r="I69" i="26" s="1"/>
  <c r="J69" i="26" s="1"/>
  <c r="I63" i="26"/>
  <c r="H26" i="24"/>
  <c r="F45" i="29"/>
  <c r="G45" i="29"/>
  <c r="H27" i="24"/>
  <c r="H28" i="24"/>
  <c r="H29" i="24"/>
  <c r="F48" i="29"/>
  <c r="G48" i="29"/>
  <c r="S5" i="23"/>
  <c r="S6" i="23"/>
  <c r="BB19" i="17"/>
  <c r="BD19" i="17"/>
  <c r="BH4" i="17"/>
  <c r="BH5" i="17"/>
  <c r="BH6" i="17"/>
  <c r="Y19" i="23"/>
  <c r="P5" i="23"/>
  <c r="P6" i="23"/>
  <c r="Q5" i="23"/>
  <c r="Q6" i="23" s="1"/>
  <c r="BC5" i="17"/>
  <c r="BD5" i="17"/>
  <c r="BE5" i="17"/>
  <c r="BF5" i="17"/>
  <c r="BC6" i="17"/>
  <c r="BD6" i="17"/>
  <c r="BE6" i="17"/>
  <c r="BF6" i="17"/>
  <c r="H38" i="24"/>
  <c r="BC7" i="17"/>
  <c r="BD7" i="17"/>
  <c r="BE7" i="17"/>
  <c r="BF7" i="17"/>
  <c r="H39" i="24"/>
  <c r="BC8" i="17"/>
  <c r="BD8" i="17"/>
  <c r="BE8" i="17" s="1"/>
  <c r="BF8" i="17" s="1"/>
  <c r="H40" i="24" s="1"/>
  <c r="BC9" i="17"/>
  <c r="BD9" i="17"/>
  <c r="BE9" i="17"/>
  <c r="BF9" i="17"/>
  <c r="H41" i="24"/>
  <c r="BC10" i="17"/>
  <c r="BD10" i="17"/>
  <c r="BE10" i="17"/>
  <c r="BF10" i="17"/>
  <c r="H42" i="24"/>
  <c r="BC11" i="17"/>
  <c r="BD11" i="17"/>
  <c r="BE11" i="17"/>
  <c r="BF11" i="17"/>
  <c r="H43" i="24"/>
  <c r="BC12" i="17"/>
  <c r="BD12" i="17"/>
  <c r="BE12" i="17"/>
  <c r="BF12" i="17"/>
  <c r="H44" i="24"/>
  <c r="BC13" i="17"/>
  <c r="BD13" i="17"/>
  <c r="BE13" i="17"/>
  <c r="BF13" i="17"/>
  <c r="H45" i="24"/>
  <c r="BC14" i="17"/>
  <c r="BD14" i="17"/>
  <c r="BE14" i="17"/>
  <c r="BF14" i="17"/>
  <c r="H46" i="24"/>
  <c r="U5" i="23"/>
  <c r="U6" i="23"/>
  <c r="H49" i="24"/>
  <c r="I49" i="24"/>
  <c r="F50" i="29"/>
  <c r="G50" i="29"/>
  <c r="H50" i="24"/>
  <c r="I50" i="24"/>
  <c r="F51" i="29"/>
  <c r="G51" i="29"/>
  <c r="V15" i="30"/>
  <c r="AI22" i="30" s="1"/>
  <c r="AK22" i="30" s="1"/>
  <c r="AJ25" i="30" s="1"/>
  <c r="V14" i="30"/>
  <c r="E74" i="31" s="1"/>
  <c r="AC22" i="30"/>
  <c r="AE22" i="30" s="1"/>
  <c r="AJ32" i="30"/>
  <c r="AD32" i="30"/>
  <c r="V13" i="30"/>
  <c r="AI6" i="30" s="1"/>
  <c r="AK6" i="30" s="1"/>
  <c r="AJ16" i="30"/>
  <c r="AD16" i="30"/>
  <c r="W16" i="17"/>
  <c r="AF18" i="17"/>
  <c r="Z18" i="17"/>
  <c r="AQ11" i="17"/>
  <c r="AR19" i="17"/>
  <c r="Z12" i="17"/>
  <c r="AF12" i="17"/>
  <c r="Z14" i="17"/>
  <c r="AF14" i="17"/>
  <c r="Z17" i="17"/>
  <c r="AF17" i="17"/>
  <c r="Z13" i="17"/>
  <c r="AF13" i="17"/>
  <c r="Z16" i="17"/>
  <c r="AF16" i="17"/>
  <c r="Z8" i="17"/>
  <c r="AF8" i="17"/>
  <c r="Z2" i="17"/>
  <c r="AF2" i="17"/>
  <c r="Z3" i="17"/>
  <c r="AF3" i="17"/>
  <c r="Z9" i="17"/>
  <c r="AF9" i="17"/>
  <c r="Z5" i="17"/>
  <c r="AF5" i="17"/>
  <c r="Z11" i="17"/>
  <c r="AF11" i="17"/>
  <c r="Z6" i="17"/>
  <c r="AF6" i="17"/>
  <c r="Z7" i="17"/>
  <c r="AF7" i="17"/>
  <c r="Z10" i="17"/>
  <c r="AF10" i="17"/>
  <c r="Z4" i="17"/>
  <c r="AF4" i="17"/>
  <c r="Z15" i="17"/>
  <c r="AF15" i="17"/>
  <c r="B22" i="19"/>
  <c r="B23" i="19"/>
  <c r="AO2" i="17"/>
  <c r="AO3" i="17"/>
  <c r="AO5" i="17"/>
  <c r="AO6" i="17"/>
  <c r="AO7" i="17"/>
  <c r="AQ7" i="17"/>
  <c r="AQ2" i="17"/>
  <c r="AQ3" i="17"/>
  <c r="F18" i="27"/>
  <c r="D30" i="27"/>
  <c r="E30" i="27"/>
  <c r="C30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AX4" i="17"/>
  <c r="AX3" i="17" s="1"/>
  <c r="D25" i="30"/>
  <c r="Y23" i="23"/>
  <c r="C15" i="29"/>
  <c r="H4" i="24"/>
  <c r="C18" i="32"/>
  <c r="C13" i="32"/>
  <c r="C17" i="32"/>
  <c r="C16" i="32"/>
  <c r="C15" i="32"/>
  <c r="C14" i="32"/>
  <c r="I40" i="19"/>
  <c r="I3" i="26"/>
  <c r="B3" i="26"/>
  <c r="D41" i="27"/>
  <c r="H41" i="27"/>
  <c r="H42" i="27"/>
  <c r="K19" i="23"/>
  <c r="E14" i="19"/>
  <c r="D20" i="30"/>
  <c r="D19" i="30"/>
  <c r="C24" i="32"/>
  <c r="E11" i="32"/>
  <c r="F16" i="29"/>
  <c r="F14" i="29"/>
  <c r="N47" i="19"/>
  <c r="C28" i="32"/>
  <c r="E24" i="32"/>
  <c r="H25" i="17"/>
  <c r="H24" i="17"/>
  <c r="H29" i="17" s="1"/>
  <c r="B55" i="29"/>
  <c r="B7" i="29"/>
  <c r="B6" i="29"/>
  <c r="F36" i="31"/>
  <c r="B41" i="31" s="1"/>
  <c r="B79" i="31" s="1"/>
  <c r="B40" i="31"/>
  <c r="B78" i="31"/>
  <c r="C33" i="31"/>
  <c r="W73" i="31"/>
  <c r="M73" i="31"/>
  <c r="L7" i="31"/>
  <c r="L5" i="31"/>
  <c r="C16" i="30"/>
  <c r="D16" i="30"/>
  <c r="AG17" i="30"/>
  <c r="AA33" i="30"/>
  <c r="AG33" i="30"/>
  <c r="AA17" i="30"/>
  <c r="C26" i="30"/>
  <c r="C27" i="30"/>
  <c r="C28" i="30"/>
  <c r="C19" i="30"/>
  <c r="C20" i="30"/>
  <c r="C21" i="30"/>
  <c r="C22" i="30"/>
  <c r="C23" i="30"/>
  <c r="C24" i="30"/>
  <c r="C25" i="30"/>
  <c r="C18" i="30"/>
  <c r="D18" i="30"/>
  <c r="C17" i="30"/>
  <c r="D17" i="30"/>
  <c r="AW15" i="17"/>
  <c r="H66" i="26"/>
  <c r="I66" i="26"/>
  <c r="W5" i="23"/>
  <c r="W6" i="23"/>
  <c r="W7" i="23"/>
  <c r="W8" i="23"/>
  <c r="W9" i="23"/>
  <c r="W10" i="23"/>
  <c r="W11" i="23"/>
  <c r="W12" i="23"/>
  <c r="W13" i="23"/>
  <c r="W14" i="23"/>
  <c r="W15" i="23"/>
  <c r="W16" i="23"/>
  <c r="BJ4" i="17"/>
  <c r="BJ5" i="17" s="1"/>
  <c r="AW5" i="17"/>
  <c r="AW14" i="17"/>
  <c r="AW6" i="17"/>
  <c r="AW7" i="17"/>
  <c r="AW12" i="17"/>
  <c r="AW8" i="17"/>
  <c r="AW9" i="17"/>
  <c r="AW10" i="17"/>
  <c r="AW11" i="17"/>
  <c r="AW13" i="17"/>
  <c r="AR14" i="17"/>
  <c r="AW4" i="17"/>
  <c r="I11" i="26"/>
  <c r="C4" i="24"/>
  <c r="F4" i="24"/>
  <c r="F6" i="24"/>
  <c r="F5" i="24"/>
  <c r="H6" i="24"/>
  <c r="H5" i="24"/>
  <c r="C6" i="24"/>
  <c r="C5" i="24"/>
  <c r="G11" i="26"/>
  <c r="E11" i="26"/>
  <c r="B11" i="26"/>
  <c r="I21" i="19"/>
  <c r="F58" i="29"/>
  <c r="D56" i="29"/>
  <c r="D58" i="29"/>
  <c r="B5" i="23"/>
  <c r="H15" i="26"/>
  <c r="D50" i="24"/>
  <c r="E51" i="29"/>
  <c r="D49" i="24"/>
  <c r="E50" i="29"/>
  <c r="E52" i="29"/>
  <c r="E49" i="29"/>
  <c r="E44" i="29"/>
  <c r="E45" i="29"/>
  <c r="E46" i="29"/>
  <c r="E47" i="29"/>
  <c r="E48" i="29"/>
  <c r="E43" i="29"/>
  <c r="D46" i="24"/>
  <c r="E55" i="26"/>
  <c r="D35" i="24"/>
  <c r="E44" i="26" s="1"/>
  <c r="E31" i="29"/>
  <c r="E33" i="29"/>
  <c r="E34" i="29"/>
  <c r="E35" i="29"/>
  <c r="E36" i="29"/>
  <c r="E37" i="29"/>
  <c r="E38" i="29"/>
  <c r="D44" i="24"/>
  <c r="E53" i="26"/>
  <c r="D45" i="24"/>
  <c r="E54" i="26"/>
  <c r="D34" i="24"/>
  <c r="E29" i="29" s="1"/>
  <c r="B5" i="29"/>
  <c r="B8" i="29"/>
  <c r="D57" i="29"/>
  <c r="F3" i="27"/>
  <c r="C3" i="27"/>
  <c r="E57" i="26"/>
  <c r="H45" i="27"/>
  <c r="H44" i="27"/>
  <c r="H43" i="27"/>
  <c r="D40" i="27"/>
  <c r="C6" i="27"/>
  <c r="D39" i="26"/>
  <c r="D38" i="26"/>
  <c r="D37" i="26"/>
  <c r="E68" i="26"/>
  <c r="E63" i="26"/>
  <c r="E64" i="26"/>
  <c r="E65" i="26"/>
  <c r="E66" i="26"/>
  <c r="D66" i="26"/>
  <c r="E67" i="26"/>
  <c r="E62" i="26"/>
  <c r="E52" i="26"/>
  <c r="E48" i="26"/>
  <c r="E49" i="26"/>
  <c r="E50" i="26"/>
  <c r="E51" i="26"/>
  <c r="E47" i="26"/>
  <c r="E45" i="26"/>
  <c r="J15" i="26"/>
  <c r="B9" i="26"/>
  <c r="B7" i="26"/>
  <c r="B8" i="26"/>
  <c r="B6" i="26"/>
  <c r="H9" i="26"/>
  <c r="H8" i="26"/>
  <c r="H7" i="26"/>
  <c r="H6" i="26"/>
  <c r="J23" i="26"/>
  <c r="J21" i="26"/>
  <c r="J20" i="26"/>
  <c r="E15" i="19"/>
  <c r="D22" i="30"/>
  <c r="K34" i="24"/>
  <c r="D10" i="24"/>
  <c r="F7" i="24"/>
  <c r="L3" i="24"/>
  <c r="O4" i="23"/>
  <c r="K33" i="24"/>
  <c r="C3" i="23"/>
  <c r="V5" i="23"/>
  <c r="V6" i="23"/>
  <c r="K36" i="24"/>
  <c r="K35" i="24"/>
  <c r="C2" i="23"/>
  <c r="X20" i="23"/>
  <c r="D26" i="30"/>
  <c r="D23" i="30"/>
  <c r="D27" i="30"/>
  <c r="D24" i="30"/>
  <c r="B65" i="24"/>
  <c r="F47" i="29"/>
  <c r="G47" i="29"/>
  <c r="E39" i="29"/>
  <c r="C13" i="29"/>
  <c r="AP14" i="17"/>
  <c r="AA21" i="23" s="1"/>
  <c r="H67" i="26"/>
  <c r="I67" i="26"/>
  <c r="J38" i="26"/>
  <c r="W2" i="17"/>
  <c r="D28" i="30"/>
  <c r="D21" i="30"/>
  <c r="AA22" i="23"/>
  <c r="AP15" i="17"/>
  <c r="Z21" i="23" s="1"/>
  <c r="AR15" i="17"/>
  <c r="Z22" i="23"/>
  <c r="AQ12" i="17"/>
  <c r="S16" i="19"/>
  <c r="T15" i="19"/>
  <c r="S15" i="19"/>
  <c r="S3" i="19"/>
  <c r="I5" i="23"/>
  <c r="S13" i="19"/>
  <c r="I15" i="23"/>
  <c r="L19" i="19"/>
  <c r="T3" i="19"/>
  <c r="J5" i="23"/>
  <c r="S12" i="19"/>
  <c r="I14" i="23"/>
  <c r="S8" i="19"/>
  <c r="I10" i="23"/>
  <c r="S5" i="19"/>
  <c r="I7" i="23"/>
  <c r="S10" i="19"/>
  <c r="I12" i="23"/>
  <c r="S14" i="19"/>
  <c r="I16" i="23"/>
  <c r="S9" i="19"/>
  <c r="I11" i="23"/>
  <c r="S11" i="19"/>
  <c r="I13" i="23"/>
  <c r="S4" i="19"/>
  <c r="I6" i="23"/>
  <c r="S7" i="19"/>
  <c r="I9" i="23"/>
  <c r="S6" i="19"/>
  <c r="I8" i="23"/>
  <c r="I25" i="23"/>
  <c r="T7" i="19"/>
  <c r="J9" i="23"/>
  <c r="T11" i="19"/>
  <c r="J13" i="23"/>
  <c r="T5" i="19"/>
  <c r="J7" i="23"/>
  <c r="T8" i="19"/>
  <c r="J10" i="23"/>
  <c r="T6" i="19"/>
  <c r="J8" i="23"/>
  <c r="T12" i="19"/>
  <c r="J14" i="23"/>
  <c r="T4" i="19"/>
  <c r="J6" i="23"/>
  <c r="T13" i="19"/>
  <c r="J15" i="23"/>
  <c r="T10" i="19"/>
  <c r="J12" i="23"/>
  <c r="T14" i="19"/>
  <c r="J16" i="23"/>
  <c r="T9" i="19"/>
  <c r="J11" i="23"/>
  <c r="AO37" i="17"/>
  <c r="U11" i="17"/>
  <c r="U4" i="17"/>
  <c r="W1" i="17"/>
  <c r="W18" i="17"/>
  <c r="H59" i="26"/>
  <c r="I59" i="26"/>
  <c r="W17" i="17"/>
  <c r="W10" i="17"/>
  <c r="U31" i="17"/>
  <c r="E59" i="26"/>
  <c r="W15" i="17"/>
  <c r="W13" i="17"/>
  <c r="W11" i="17"/>
  <c r="W5" i="17"/>
  <c r="BB13" i="17"/>
  <c r="W6" i="17"/>
  <c r="U17" i="17"/>
  <c r="AP21" i="17"/>
  <c r="W7" i="17"/>
  <c r="U8" i="17"/>
  <c r="U30" i="17"/>
  <c r="F44" i="29"/>
  <c r="G44" i="29" s="1"/>
  <c r="E41" i="29"/>
  <c r="U14" i="17"/>
  <c r="BB14" i="17"/>
  <c r="T25" i="23"/>
  <c r="H24" i="24"/>
  <c r="H62" i="26"/>
  <c r="I62" i="26"/>
  <c r="U12" i="17"/>
  <c r="E29" i="30"/>
  <c r="F29" i="30" s="1"/>
  <c r="C21" i="23"/>
  <c r="BH7" i="17"/>
  <c r="BH8" i="17"/>
  <c r="BH9" i="17"/>
  <c r="BH10" i="17"/>
  <c r="BH11" i="17"/>
  <c r="BH12" i="17"/>
  <c r="BH13" i="17"/>
  <c r="BH14" i="17"/>
  <c r="U7" i="23"/>
  <c r="U8" i="23"/>
  <c r="U9" i="23"/>
  <c r="U10" i="23"/>
  <c r="U11" i="23"/>
  <c r="U12" i="23"/>
  <c r="U13" i="23"/>
  <c r="U14" i="23"/>
  <c r="U15" i="23"/>
  <c r="U16" i="23"/>
  <c r="R7" i="23"/>
  <c r="R8" i="23"/>
  <c r="R9" i="23"/>
  <c r="R10" i="23"/>
  <c r="R11" i="23"/>
  <c r="R12" i="23"/>
  <c r="R13" i="23"/>
  <c r="R14" i="23"/>
  <c r="R15" i="23"/>
  <c r="R16" i="23"/>
  <c r="J25" i="23"/>
  <c r="H64" i="26"/>
  <c r="I64" i="26"/>
  <c r="M25" i="23"/>
  <c r="F43" i="29"/>
  <c r="G43" i="29"/>
  <c r="F36" i="29"/>
  <c r="G36" i="29"/>
  <c r="H50" i="26"/>
  <c r="I50" i="26"/>
  <c r="U26" i="17"/>
  <c r="U5" i="17"/>
  <c r="U9" i="17"/>
  <c r="U37" i="17"/>
  <c r="U35" i="17"/>
  <c r="U33" i="17"/>
  <c r="W31" i="17"/>
  <c r="U29" i="17"/>
  <c r="W27" i="17"/>
  <c r="E40" i="29"/>
  <c r="E60" i="26"/>
  <c r="U1" i="17"/>
  <c r="U15" i="17"/>
  <c r="U6" i="17"/>
  <c r="U10" i="17"/>
  <c r="AO29" i="17"/>
  <c r="AO30" i="17"/>
  <c r="U36" i="17"/>
  <c r="W35" i="17"/>
  <c r="W33" i="17"/>
  <c r="W32" i="17"/>
  <c r="U28" i="17"/>
  <c r="W28" i="17"/>
  <c r="BB12" i="17"/>
  <c r="U2" i="17"/>
  <c r="U16" i="17"/>
  <c r="U13" i="17"/>
  <c r="U7" i="17"/>
  <c r="W36" i="17"/>
  <c r="U34" i="17"/>
  <c r="U32" i="17"/>
  <c r="W29" i="17"/>
  <c r="AO8" i="17"/>
  <c r="AO9" i="17"/>
  <c r="AP12" i="17"/>
  <c r="F39" i="29"/>
  <c r="G39" i="29"/>
  <c r="H53" i="26"/>
  <c r="I53" i="26"/>
  <c r="H60" i="26"/>
  <c r="I60" i="26"/>
  <c r="J60" i="26"/>
  <c r="AQ5" i="17"/>
  <c r="AQ6" i="17"/>
  <c r="H52" i="26"/>
  <c r="I52" i="26"/>
  <c r="F38" i="29"/>
  <c r="G38" i="29"/>
  <c r="F34" i="29"/>
  <c r="G34" i="29"/>
  <c r="H48" i="26"/>
  <c r="I48" i="26"/>
  <c r="V7" i="23"/>
  <c r="V8" i="23"/>
  <c r="V9" i="23"/>
  <c r="V10" i="23"/>
  <c r="V11" i="23"/>
  <c r="V12" i="23"/>
  <c r="V13" i="23"/>
  <c r="V14" i="23"/>
  <c r="V15" i="23"/>
  <c r="V16" i="23"/>
  <c r="H55" i="26"/>
  <c r="I55" i="26"/>
  <c r="F41" i="29"/>
  <c r="G41" i="29"/>
  <c r="F37" i="29"/>
  <c r="G37" i="29"/>
  <c r="H51" i="26"/>
  <c r="I51" i="26"/>
  <c r="F33" i="29"/>
  <c r="G33" i="29"/>
  <c r="H47" i="26"/>
  <c r="I47" i="26"/>
  <c r="P7" i="23"/>
  <c r="S7" i="23"/>
  <c r="S8" i="23"/>
  <c r="S9" i="23"/>
  <c r="S10" i="23"/>
  <c r="S11" i="23"/>
  <c r="S12" i="23"/>
  <c r="S13" i="23"/>
  <c r="S14" i="23"/>
  <c r="S15" i="23"/>
  <c r="S16" i="23"/>
  <c r="F46" i="29"/>
  <c r="G46" i="29"/>
  <c r="H65" i="26"/>
  <c r="D37" i="24"/>
  <c r="I72" i="31"/>
  <c r="H54" i="26"/>
  <c r="I54" i="26"/>
  <c r="F40" i="29"/>
  <c r="G40" i="29"/>
  <c r="E6" i="23"/>
  <c r="K6" i="23"/>
  <c r="D6" i="23"/>
  <c r="L6" i="23"/>
  <c r="L7" i="23"/>
  <c r="L8" i="23"/>
  <c r="L9" i="23"/>
  <c r="L10" i="23"/>
  <c r="L11" i="23"/>
  <c r="L12" i="23"/>
  <c r="L13" i="23"/>
  <c r="Z6" i="23"/>
  <c r="AX5" i="17" s="1"/>
  <c r="U25" i="23"/>
  <c r="H37" i="24"/>
  <c r="H6" i="23"/>
  <c r="H7" i="23"/>
  <c r="H8" i="23"/>
  <c r="H9" i="23"/>
  <c r="H10" i="23"/>
  <c r="H11" i="23"/>
  <c r="H12" i="23"/>
  <c r="H13" i="23"/>
  <c r="H14" i="23"/>
  <c r="H15" i="23"/>
  <c r="H16" i="23"/>
  <c r="X26" i="17"/>
  <c r="AO33" i="17"/>
  <c r="AP36" i="17"/>
  <c r="W4" i="17"/>
  <c r="W8" i="17"/>
  <c r="H29" i="30"/>
  <c r="V25" i="23"/>
  <c r="S25" i="23"/>
  <c r="H30" i="24"/>
  <c r="F49" i="29"/>
  <c r="G49" i="29"/>
  <c r="AA1" i="17"/>
  <c r="AG1" i="17" s="1"/>
  <c r="AG18" i="17" s="1"/>
  <c r="AB1" i="17"/>
  <c r="AB18" i="17" s="1"/>
  <c r="U18" i="17"/>
  <c r="L14" i="23"/>
  <c r="L15" i="23"/>
  <c r="L16" i="23"/>
  <c r="L20" i="23"/>
  <c r="H46" i="26"/>
  <c r="I46" i="26"/>
  <c r="F32" i="29"/>
  <c r="G32" i="29"/>
  <c r="H20" i="23"/>
  <c r="H25" i="23"/>
  <c r="E46" i="26"/>
  <c r="E32" i="29"/>
  <c r="K7" i="23"/>
  <c r="K8" i="23"/>
  <c r="K9" i="23"/>
  <c r="K10" i="23"/>
  <c r="K11" i="23"/>
  <c r="K12" i="23"/>
  <c r="K13" i="23"/>
  <c r="AQ8" i="17"/>
  <c r="AR11" i="17"/>
  <c r="BH15" i="17"/>
  <c r="AO32" i="17"/>
  <c r="AP35" i="17"/>
  <c r="P8" i="23"/>
  <c r="E7" i="23"/>
  <c r="E8" i="23"/>
  <c r="E9" i="23"/>
  <c r="E10" i="23"/>
  <c r="E11" i="23"/>
  <c r="E12" i="23"/>
  <c r="E13" i="23"/>
  <c r="D7" i="23"/>
  <c r="D8" i="23"/>
  <c r="D9" i="23"/>
  <c r="D10" i="23"/>
  <c r="D11" i="23"/>
  <c r="D12" i="23"/>
  <c r="D13" i="23"/>
  <c r="D14" i="23"/>
  <c r="D15" i="23"/>
  <c r="D16" i="23"/>
  <c r="L25" i="23"/>
  <c r="I65" i="26"/>
  <c r="C29" i="30"/>
  <c r="D29" i="30"/>
  <c r="AP11" i="17"/>
  <c r="H68" i="26"/>
  <c r="I68" i="26"/>
  <c r="I31" i="24"/>
  <c r="U35" i="19"/>
  <c r="AD1" i="17"/>
  <c r="AD18" i="17" s="1"/>
  <c r="AA18" i="17"/>
  <c r="AH1" i="17"/>
  <c r="AJ1" i="17" s="1"/>
  <c r="AJ18" i="17" s="1"/>
  <c r="E14" i="23"/>
  <c r="E15" i="23"/>
  <c r="E16" i="23"/>
  <c r="E20" i="23"/>
  <c r="D25" i="23"/>
  <c r="O22" i="23"/>
  <c r="X22" i="23" s="1"/>
  <c r="O21" i="23"/>
  <c r="X21" i="23" s="1"/>
  <c r="K20" i="23"/>
  <c r="K14" i="23"/>
  <c r="AQ9" i="17"/>
  <c r="AR12" i="17"/>
  <c r="AH18" i="17"/>
  <c r="E25" i="23"/>
  <c r="K15" i="23"/>
  <c r="K16" i="23"/>
  <c r="K25" i="23"/>
  <c r="W14" i="30"/>
  <c r="I74" i="31" s="1"/>
  <c r="AC23" i="30"/>
  <c r="AP20" i="17"/>
  <c r="AR26" i="17"/>
  <c r="AR27" i="17"/>
  <c r="E16" i="30" s="1"/>
  <c r="AP18" i="17"/>
  <c r="AP19" i="17"/>
  <c r="C20" i="23"/>
  <c r="G20" i="23"/>
  <c r="F20" i="23"/>
  <c r="Z20" i="23"/>
  <c r="W15" i="30"/>
  <c r="I75" i="31" s="1"/>
  <c r="E30" i="29" l="1"/>
  <c r="H49" i="26"/>
  <c r="I49" i="26" s="1"/>
  <c r="F35" i="29"/>
  <c r="G35" i="29" s="1"/>
  <c r="I21" i="24"/>
  <c r="U33" i="19" s="1"/>
  <c r="R25" i="23"/>
  <c r="H15" i="24" s="1"/>
  <c r="E75" i="31"/>
  <c r="AD28" i="30"/>
  <c r="AE28" i="30" s="1"/>
  <c r="AD27" i="30"/>
  <c r="AE27" i="30" s="1"/>
  <c r="M74" i="31"/>
  <c r="AK8" i="30"/>
  <c r="AJ12" i="30"/>
  <c r="AK12" i="30" s="1"/>
  <c r="E72" i="31"/>
  <c r="E76" i="31" s="1"/>
  <c r="AI8" i="30"/>
  <c r="W25" i="23"/>
  <c r="H63" i="24" s="1"/>
  <c r="J10" i="27" s="1"/>
  <c r="E43" i="26"/>
  <c r="AK25" i="30"/>
  <c r="AJ26" i="30"/>
  <c r="AK26" i="30" s="1"/>
  <c r="AJ27" i="30"/>
  <c r="AK27" i="30" s="1"/>
  <c r="AJ28" i="30"/>
  <c r="AK28" i="30" s="1"/>
  <c r="AK24" i="30"/>
  <c r="AE24" i="30"/>
  <c r="AC24" i="30"/>
  <c r="AB27" i="30" s="1"/>
  <c r="AC27" i="30" s="1"/>
  <c r="AD25" i="30"/>
  <c r="AD26" i="30" s="1"/>
  <c r="AE26" i="30" s="1"/>
  <c r="AH12" i="30"/>
  <c r="AI12" i="30" s="1"/>
  <c r="AH11" i="30"/>
  <c r="AI11" i="30" s="1"/>
  <c r="AH9" i="30"/>
  <c r="AH10" i="30" s="1"/>
  <c r="AI10" i="30" s="1"/>
  <c r="AJ9" i="30"/>
  <c r="AJ11" i="30"/>
  <c r="AK11" i="30" s="1"/>
  <c r="AJ10" i="30"/>
  <c r="AK10" i="30" s="1"/>
  <c r="H33" i="17"/>
  <c r="H32" i="17"/>
  <c r="I29" i="17"/>
  <c r="K33" i="17"/>
  <c r="J29" i="17"/>
  <c r="O6" i="23"/>
  <c r="X6" i="23" s="1"/>
  <c r="BJ6" i="17"/>
  <c r="O5" i="23"/>
  <c r="X5" i="23" s="1"/>
  <c r="Q7" i="23"/>
  <c r="Q8" i="23" s="1"/>
  <c r="Q9" i="23" s="1"/>
  <c r="Q10" i="23" s="1"/>
  <c r="Q11" i="23" s="1"/>
  <c r="Q12" i="23" s="1"/>
  <c r="Q13" i="23" s="1"/>
  <c r="Q14" i="23" s="1"/>
  <c r="Q15" i="23" s="1"/>
  <c r="Q16" i="23" s="1"/>
  <c r="Q25" i="23"/>
  <c r="BC4" i="17" s="1"/>
  <c r="BD4" i="17" s="1"/>
  <c r="BE4" i="17" s="1"/>
  <c r="BF4" i="17" s="1"/>
  <c r="H36" i="24" s="1"/>
  <c r="P9" i="23"/>
  <c r="Z7" i="23"/>
  <c r="F16" i="30"/>
  <c r="N16" i="30" s="1"/>
  <c r="Y26" i="17"/>
  <c r="Z26" i="17" s="1"/>
  <c r="E4" i="30" s="1"/>
  <c r="F4" i="30" s="1"/>
  <c r="X27" i="17"/>
  <c r="V30" i="17"/>
  <c r="H16" i="30"/>
  <c r="X3" i="17"/>
  <c r="X4" i="17" s="1"/>
  <c r="X5" i="17" s="1"/>
  <c r="X6" i="17" s="1"/>
  <c r="X7" i="17" s="1"/>
  <c r="X8" i="17" s="1"/>
  <c r="X9" i="17" s="1"/>
  <c r="X10" i="17" s="1"/>
  <c r="X11" i="17" s="1"/>
  <c r="X12" i="17" s="1"/>
  <c r="X13" i="17" s="1"/>
  <c r="X14" i="17" s="1"/>
  <c r="X15" i="17" s="1"/>
  <c r="X16" i="17" s="1"/>
  <c r="X17" i="17" s="1"/>
  <c r="V3" i="17"/>
  <c r="I76" i="31"/>
  <c r="M75" i="31"/>
  <c r="N22" i="23"/>
  <c r="Y22" i="23" s="1"/>
  <c r="AC7" i="30"/>
  <c r="U51" i="31" s="1"/>
  <c r="N20" i="23"/>
  <c r="Y20" i="23" s="1"/>
  <c r="Y2" i="17"/>
  <c r="E17" i="30" s="1"/>
  <c r="F17" i="30" s="1"/>
  <c r="O29" i="30"/>
  <c r="N29" i="30"/>
  <c r="B29" i="30"/>
  <c r="AI23" i="30"/>
  <c r="AI24" i="30" s="1"/>
  <c r="W12" i="30"/>
  <c r="T12" i="31" s="1"/>
  <c r="V4" i="17"/>
  <c r="Y3" i="17"/>
  <c r="N21" i="23"/>
  <c r="Y21" i="23" s="1"/>
  <c r="I15" i="24" l="1"/>
  <c r="U29" i="19" s="1"/>
  <c r="H33" i="26"/>
  <c r="J34" i="26" s="1"/>
  <c r="AB25" i="30"/>
  <c r="AB26" i="30" s="1"/>
  <c r="AC26" i="30" s="1"/>
  <c r="M72" i="31"/>
  <c r="M76" i="31" s="1"/>
  <c r="AK29" i="30"/>
  <c r="AK30" i="30" s="1"/>
  <c r="AJ29" i="30"/>
  <c r="AB28" i="30"/>
  <c r="AC28" i="30" s="1"/>
  <c r="AE25" i="30"/>
  <c r="AE29" i="30" s="1"/>
  <c r="AE30" i="30" s="1"/>
  <c r="AD29" i="30"/>
  <c r="AK9" i="30"/>
  <c r="AK13" i="30" s="1"/>
  <c r="AJ13" i="30"/>
  <c r="AH13" i="30"/>
  <c r="AI9" i="30"/>
  <c r="AI13" i="30" s="1"/>
  <c r="J32" i="17"/>
  <c r="J33" i="17"/>
  <c r="I32" i="17"/>
  <c r="I33" i="17"/>
  <c r="K29" i="17"/>
  <c r="BJ7" i="17"/>
  <c r="O7" i="23"/>
  <c r="X7" i="23" s="1"/>
  <c r="H45" i="26"/>
  <c r="I45" i="26" s="1"/>
  <c r="F31" i="29"/>
  <c r="G31" i="29" s="1"/>
  <c r="P10" i="23"/>
  <c r="AX6" i="17"/>
  <c r="Z8" i="23"/>
  <c r="P16" i="30"/>
  <c r="R16" i="30" s="1"/>
  <c r="I16" i="30"/>
  <c r="J16" i="30" s="1"/>
  <c r="L16" i="30" s="1"/>
  <c r="O16" i="30"/>
  <c r="B16" i="30"/>
  <c r="V31" i="17"/>
  <c r="X28" i="17"/>
  <c r="Y27" i="17"/>
  <c r="Z27" i="17" s="1"/>
  <c r="E5" i="30" s="1"/>
  <c r="F5" i="30" s="1"/>
  <c r="I4" i="30"/>
  <c r="H4" i="30"/>
  <c r="AA2" i="17"/>
  <c r="P29" i="30"/>
  <c r="E18" i="30"/>
  <c r="F18" i="30" s="1"/>
  <c r="AK3" i="17"/>
  <c r="AE3" i="17"/>
  <c r="AM3" i="17" s="1"/>
  <c r="V5" i="17"/>
  <c r="Y4" i="17"/>
  <c r="AH25" i="30"/>
  <c r="AH27" i="30"/>
  <c r="AI27" i="30" s="1"/>
  <c r="AH28" i="30"/>
  <c r="AI28" i="30" s="1"/>
  <c r="AH26" i="30"/>
  <c r="AI26" i="30" s="1"/>
  <c r="Q29" i="30"/>
  <c r="AB2" i="17"/>
  <c r="AA3" i="17"/>
  <c r="AA4" i="17" s="1"/>
  <c r="AA5" i="17" s="1"/>
  <c r="AA6" i="17" s="1"/>
  <c r="AA7" i="17" s="1"/>
  <c r="AA8" i="17" s="1"/>
  <c r="AA9" i="17" s="1"/>
  <c r="AA10" i="17" s="1"/>
  <c r="AA11" i="17" s="1"/>
  <c r="AA12" i="17" s="1"/>
  <c r="AA13" i="17" s="1"/>
  <c r="AA14" i="17" s="1"/>
  <c r="AA15" i="17" s="1"/>
  <c r="AA16" i="17" s="1"/>
  <c r="AA17" i="17" s="1"/>
  <c r="AG2" i="17"/>
  <c r="AG3" i="17" s="1"/>
  <c r="AG4" i="17" s="1"/>
  <c r="AG5" i="17" s="1"/>
  <c r="AG6" i="17" s="1"/>
  <c r="AG7" i="17" s="1"/>
  <c r="AG8" i="17" s="1"/>
  <c r="AG9" i="17" s="1"/>
  <c r="AG10" i="17" s="1"/>
  <c r="AG11" i="17" s="1"/>
  <c r="AG12" i="17" s="1"/>
  <c r="AG13" i="17" s="1"/>
  <c r="AG14" i="17" s="1"/>
  <c r="AG15" i="17" s="1"/>
  <c r="AG16" i="17" s="1"/>
  <c r="AG17" i="17" s="1"/>
  <c r="I17" i="30"/>
  <c r="H17" i="30"/>
  <c r="J17" i="30" s="1"/>
  <c r="O17" i="30"/>
  <c r="Q17" i="30"/>
  <c r="N17" i="30"/>
  <c r="AC25" i="30" l="1"/>
  <c r="AK31" i="30"/>
  <c r="AB29" i="30"/>
  <c r="AE31" i="30"/>
  <c r="AC29" i="30"/>
  <c r="AC30" i="30" s="1"/>
  <c r="AC31" i="30" s="1"/>
  <c r="AI14" i="30"/>
  <c r="AI15" i="30" s="1"/>
  <c r="AK14" i="30"/>
  <c r="AK15" i="30"/>
  <c r="K32" i="17"/>
  <c r="I30" i="17"/>
  <c r="H30" i="17"/>
  <c r="J30" i="17" s="1"/>
  <c r="H35" i="17" s="1"/>
  <c r="C5" i="32" s="1"/>
  <c r="O8" i="23"/>
  <c r="X8" i="23" s="1"/>
  <c r="BJ8" i="17"/>
  <c r="P11" i="23"/>
  <c r="Z9" i="23"/>
  <c r="AX7" i="17"/>
  <c r="K4" i="30"/>
  <c r="X29" i="17"/>
  <c r="Y28" i="17"/>
  <c r="Z28" i="17" s="1"/>
  <c r="E6" i="30" s="1"/>
  <c r="F6" i="30" s="1"/>
  <c r="V32" i="17"/>
  <c r="H5" i="30"/>
  <c r="I5" i="30"/>
  <c r="J4" i="30"/>
  <c r="R29" i="30"/>
  <c r="AH29" i="30"/>
  <c r="AI25" i="30"/>
  <c r="AI29" i="30" s="1"/>
  <c r="P17" i="30"/>
  <c r="AH2" i="17"/>
  <c r="AH3" i="17" s="1"/>
  <c r="AH4" i="17" s="1"/>
  <c r="AH5" i="17" s="1"/>
  <c r="AH6" i="17" s="1"/>
  <c r="AH7" i="17" s="1"/>
  <c r="AH8" i="17" s="1"/>
  <c r="AC2" i="17"/>
  <c r="AB3" i="17"/>
  <c r="AB4" i="17" s="1"/>
  <c r="AB5" i="17" s="1"/>
  <c r="AB6" i="17" s="1"/>
  <c r="AB7" i="17" s="1"/>
  <c r="AB8" i="17" s="1"/>
  <c r="E19" i="30"/>
  <c r="AE4" i="17"/>
  <c r="AC4" i="17"/>
  <c r="AK4" i="17"/>
  <c r="AI4" i="17"/>
  <c r="AC3" i="17"/>
  <c r="K17" i="30"/>
  <c r="Y5" i="17"/>
  <c r="V6" i="17"/>
  <c r="AI3" i="17"/>
  <c r="N18" i="30"/>
  <c r="H18" i="30"/>
  <c r="I18" i="30"/>
  <c r="O18" i="30"/>
  <c r="AK32" i="30" l="1"/>
  <c r="AK33" i="30" s="1"/>
  <c r="Q75" i="31" s="1"/>
  <c r="AE32" i="30"/>
  <c r="AE33" i="30" s="1"/>
  <c r="Q74" i="31" s="1"/>
  <c r="AI16" i="30"/>
  <c r="AI17" i="30" s="1"/>
  <c r="AK16" i="30"/>
  <c r="AK17" i="30" s="1"/>
  <c r="Q72" i="31" s="1"/>
  <c r="BJ9" i="17"/>
  <c r="O9" i="23"/>
  <c r="X9" i="23" s="1"/>
  <c r="P12" i="23"/>
  <c r="Z10" i="23"/>
  <c r="AX8" i="17"/>
  <c r="L4" i="30"/>
  <c r="J5" i="30"/>
  <c r="I6" i="30"/>
  <c r="H6" i="30"/>
  <c r="J6" i="30" s="1"/>
  <c r="V33" i="17"/>
  <c r="K5" i="30"/>
  <c r="L5" i="30" s="1"/>
  <c r="AC32" i="30"/>
  <c r="AC33" i="30" s="1"/>
  <c r="X30" i="17"/>
  <c r="Y29" i="17"/>
  <c r="Z29" i="17" s="1"/>
  <c r="E7" i="30" s="1"/>
  <c r="F7" i="30" s="1"/>
  <c r="J18" i="30"/>
  <c r="K18" i="30"/>
  <c r="P18" i="30"/>
  <c r="AI2" i="17"/>
  <c r="AD2" i="17"/>
  <c r="AE2" i="17" s="1"/>
  <c r="AM2" i="17" s="1"/>
  <c r="R17" i="30"/>
  <c r="Q18" i="30"/>
  <c r="AM4" i="17"/>
  <c r="AI30" i="30"/>
  <c r="AI31" i="30"/>
  <c r="V7" i="17"/>
  <c r="Y6" i="17"/>
  <c r="AE5" i="17"/>
  <c r="AM5" i="17" s="1"/>
  <c r="W4" i="19" s="1"/>
  <c r="AK5" i="17"/>
  <c r="AC5" i="17"/>
  <c r="AI5" i="17"/>
  <c r="E20" i="30"/>
  <c r="L17" i="30"/>
  <c r="Q76" i="31" l="1"/>
  <c r="T72" i="31"/>
  <c r="W72" i="31" s="1"/>
  <c r="AK18" i="30"/>
  <c r="X13" i="30" s="1"/>
  <c r="BJ10" i="17"/>
  <c r="O10" i="23"/>
  <c r="X10" i="23" s="1"/>
  <c r="P13" i="23"/>
  <c r="AX9" i="17"/>
  <c r="Z11" i="23"/>
  <c r="I7" i="30"/>
  <c r="H7" i="30"/>
  <c r="K6" i="30"/>
  <c r="L6" i="30" s="1"/>
  <c r="X31" i="17"/>
  <c r="Y30" i="17"/>
  <c r="Z30" i="17" s="1"/>
  <c r="E8" i="30" s="1"/>
  <c r="F8" i="30" s="1"/>
  <c r="T74" i="31"/>
  <c r="W74" i="31" s="1"/>
  <c r="AE34" i="30"/>
  <c r="X14" i="30" s="1"/>
  <c r="V34" i="17"/>
  <c r="L18" i="30"/>
  <c r="G6" i="23"/>
  <c r="X4" i="19"/>
  <c r="AI6" i="17"/>
  <c r="E21" i="30"/>
  <c r="AC6" i="17"/>
  <c r="AE6" i="17"/>
  <c r="AM6" i="17" s="1"/>
  <c r="W5" i="19" s="1"/>
  <c r="AK6" i="17"/>
  <c r="Y7" i="17"/>
  <c r="V8" i="17"/>
  <c r="W3" i="19"/>
  <c r="R18" i="30"/>
  <c r="AI32" i="30"/>
  <c r="AI33" i="30" s="1"/>
  <c r="AD3" i="17"/>
  <c r="AD4" i="17" s="1"/>
  <c r="AJ2" i="17"/>
  <c r="AJ3" i="17" s="1"/>
  <c r="AJ4" i="17" s="1"/>
  <c r="BJ11" i="17" l="1"/>
  <c r="O11" i="23"/>
  <c r="X11" i="23" s="1"/>
  <c r="P14" i="23"/>
  <c r="AX10" i="17"/>
  <c r="Z12" i="23"/>
  <c r="J7" i="30"/>
  <c r="V35" i="17"/>
  <c r="K8" i="30"/>
  <c r="I8" i="30"/>
  <c r="H8" i="30"/>
  <c r="J8" i="30" s="1"/>
  <c r="K7" i="30"/>
  <c r="L7" i="30" s="1"/>
  <c r="X32" i="17"/>
  <c r="Y31" i="17"/>
  <c r="Z31" i="17" s="1"/>
  <c r="E9" i="30" s="1"/>
  <c r="F9" i="30" s="1"/>
  <c r="AK34" i="30"/>
  <c r="T75" i="31"/>
  <c r="AJ5" i="17"/>
  <c r="AJ6" i="17" s="1"/>
  <c r="AJ7" i="17" s="1"/>
  <c r="AJ8" i="17" s="1"/>
  <c r="AJ9" i="17" s="1"/>
  <c r="AJ10" i="17" s="1"/>
  <c r="AJ11" i="17" s="1"/>
  <c r="AJ12" i="17" s="1"/>
  <c r="AJ13" i="17" s="1"/>
  <c r="AJ14" i="17" s="1"/>
  <c r="AJ15" i="17" s="1"/>
  <c r="AJ16" i="17" s="1"/>
  <c r="AJ17" i="17" s="1"/>
  <c r="Y8" i="17"/>
  <c r="V9" i="17"/>
  <c r="AD5" i="17"/>
  <c r="AD6" i="17" s="1"/>
  <c r="AD7" i="17" s="1"/>
  <c r="AD8" i="17" s="1"/>
  <c r="AD9" i="17" s="1"/>
  <c r="AD10" i="17" s="1"/>
  <c r="AD11" i="17" s="1"/>
  <c r="AD12" i="17" s="1"/>
  <c r="AD13" i="17" s="1"/>
  <c r="AD14" i="17" s="1"/>
  <c r="AD15" i="17" s="1"/>
  <c r="AD16" i="17" s="1"/>
  <c r="AD17" i="17" s="1"/>
  <c r="AE7" i="17"/>
  <c r="AM7" i="17" s="1"/>
  <c r="W6" i="19" s="1"/>
  <c r="AC7" i="17"/>
  <c r="AI7" i="17"/>
  <c r="AK7" i="17"/>
  <c r="E22" i="30"/>
  <c r="X5" i="19"/>
  <c r="G7" i="23"/>
  <c r="AK2" i="17"/>
  <c r="G5" i="23"/>
  <c r="X3" i="19"/>
  <c r="F20" i="30"/>
  <c r="C6" i="23"/>
  <c r="O12" i="23" l="1"/>
  <c r="X12" i="23" s="1"/>
  <c r="BJ12" i="17"/>
  <c r="P15" i="23"/>
  <c r="Z13" i="23"/>
  <c r="AX11" i="17"/>
  <c r="L8" i="30"/>
  <c r="V36" i="17"/>
  <c r="X33" i="17"/>
  <c r="Y32" i="17"/>
  <c r="Z32" i="17" s="1"/>
  <c r="E10" i="30" s="1"/>
  <c r="F10" i="30" s="1"/>
  <c r="H9" i="30"/>
  <c r="I9" i="30"/>
  <c r="C5" i="23"/>
  <c r="F19" i="30"/>
  <c r="F6" i="23"/>
  <c r="N6" i="23" s="1"/>
  <c r="Y6" i="23" s="1"/>
  <c r="F21" i="30"/>
  <c r="C7" i="23"/>
  <c r="V10" i="17"/>
  <c r="Y9" i="17"/>
  <c r="O20" i="30"/>
  <c r="N20" i="30"/>
  <c r="P20" i="30" s="1"/>
  <c r="X6" i="19"/>
  <c r="G8" i="23"/>
  <c r="AK8" i="17"/>
  <c r="AI8" i="17"/>
  <c r="E23" i="30"/>
  <c r="AE8" i="17"/>
  <c r="AC8" i="17"/>
  <c r="T76" i="31"/>
  <c r="W75" i="31"/>
  <c r="W76" i="31" s="1"/>
  <c r="AD20" i="17"/>
  <c r="AJ20" i="17"/>
  <c r="X15" i="30"/>
  <c r="U57" i="31"/>
  <c r="BJ13" i="17" l="1"/>
  <c r="O13" i="23"/>
  <c r="X13" i="23" s="1"/>
  <c r="P16" i="23"/>
  <c r="AX12" i="17"/>
  <c r="Z14" i="23"/>
  <c r="X34" i="17"/>
  <c r="Y33" i="17"/>
  <c r="Z33" i="17" s="1"/>
  <c r="E11" i="30" s="1"/>
  <c r="F11" i="30" s="1"/>
  <c r="J9" i="30"/>
  <c r="K9" i="30"/>
  <c r="V37" i="17"/>
  <c r="N10" i="30"/>
  <c r="Q10" i="30"/>
  <c r="I10" i="30"/>
  <c r="K10" i="30" s="1"/>
  <c r="H10" i="30"/>
  <c r="O10" i="30"/>
  <c r="AB9" i="17"/>
  <c r="AH9" i="17"/>
  <c r="Q20" i="30"/>
  <c r="R20" i="30" s="1"/>
  <c r="F7" i="23"/>
  <c r="N7" i="23" s="1"/>
  <c r="Y7" i="23" s="1"/>
  <c r="BI5" i="17"/>
  <c r="AM8" i="17"/>
  <c r="O21" i="30"/>
  <c r="N21" i="30"/>
  <c r="I19" i="30"/>
  <c r="H19" i="30"/>
  <c r="K19" i="30" s="1"/>
  <c r="N19" i="30"/>
  <c r="O19" i="30"/>
  <c r="Y10" i="17"/>
  <c r="V11" i="17"/>
  <c r="F22" i="30"/>
  <c r="C8" i="23"/>
  <c r="AE9" i="17"/>
  <c r="AM9" i="17" s="1"/>
  <c r="W8" i="19" s="1"/>
  <c r="AI9" i="17"/>
  <c r="E24" i="30"/>
  <c r="AK9" i="17"/>
  <c r="AC9" i="17"/>
  <c r="F5" i="23"/>
  <c r="BI4" i="17" s="1"/>
  <c r="BJ14" i="17" l="1"/>
  <c r="O14" i="23"/>
  <c r="X14" i="23" s="1"/>
  <c r="P25" i="23"/>
  <c r="BC3" i="17" s="1"/>
  <c r="BD3" i="17" s="1"/>
  <c r="BE3" i="17" s="1"/>
  <c r="BF3" i="17" s="1"/>
  <c r="H35" i="24" s="1"/>
  <c r="Z15" i="23"/>
  <c r="AX13" i="17"/>
  <c r="P10" i="30"/>
  <c r="R10" i="30" s="1"/>
  <c r="L9" i="30"/>
  <c r="J10" i="30"/>
  <c r="L10" i="30" s="1"/>
  <c r="AO35" i="17"/>
  <c r="I11" i="30"/>
  <c r="O11" i="30"/>
  <c r="H11" i="30"/>
  <c r="N11" i="30"/>
  <c r="P11" i="30" s="1"/>
  <c r="X35" i="17"/>
  <c r="Y34" i="17"/>
  <c r="Z34" i="17" s="1"/>
  <c r="E12" i="30" s="1"/>
  <c r="F12" i="30" s="1"/>
  <c r="Q19" i="30"/>
  <c r="N5" i="23"/>
  <c r="Y5" i="23"/>
  <c r="N22" i="30"/>
  <c r="P22" i="30" s="1"/>
  <c r="O22" i="30"/>
  <c r="G10" i="23"/>
  <c r="X8" i="19"/>
  <c r="V12" i="17"/>
  <c r="Y11" i="17"/>
  <c r="P19" i="30"/>
  <c r="P21" i="30"/>
  <c r="W7" i="19"/>
  <c r="BI6" i="17"/>
  <c r="F8" i="23"/>
  <c r="BI7" i="17" s="1"/>
  <c r="AB10" i="17"/>
  <c r="AB11" i="17" s="1"/>
  <c r="AB12" i="17" s="1"/>
  <c r="AB13" i="17" s="1"/>
  <c r="AB14" i="17" s="1"/>
  <c r="AB15" i="17" s="1"/>
  <c r="AB16" i="17" s="1"/>
  <c r="AB17" i="17" s="1"/>
  <c r="AH10" i="17"/>
  <c r="AH11" i="17" s="1"/>
  <c r="AH12" i="17" s="1"/>
  <c r="AH13" i="17" s="1"/>
  <c r="AH14" i="17" s="1"/>
  <c r="AH15" i="17" s="1"/>
  <c r="AH16" i="17" s="1"/>
  <c r="AH17" i="17" s="1"/>
  <c r="E25" i="30"/>
  <c r="AI10" i="17"/>
  <c r="AK10" i="17"/>
  <c r="AC10" i="17"/>
  <c r="AE10" i="17"/>
  <c r="J19" i="30"/>
  <c r="Q21" i="30"/>
  <c r="BJ15" i="17" l="1"/>
  <c r="O16" i="23" s="1"/>
  <c r="X16" i="23" s="1"/>
  <c r="O15" i="23"/>
  <c r="X15" i="23" s="1"/>
  <c r="H44" i="26"/>
  <c r="I44" i="26" s="1"/>
  <c r="F30" i="29"/>
  <c r="G30" i="29" s="1"/>
  <c r="AX14" i="17"/>
  <c r="Z16" i="23"/>
  <c r="AX15" i="17" s="1"/>
  <c r="K11" i="30"/>
  <c r="Q11" i="30"/>
  <c r="R11" i="30" s="1"/>
  <c r="O12" i="30"/>
  <c r="N12" i="30"/>
  <c r="P12" i="30" s="1"/>
  <c r="I12" i="30"/>
  <c r="H12" i="30"/>
  <c r="J11" i="30"/>
  <c r="X36" i="17"/>
  <c r="Y35" i="17"/>
  <c r="Z35" i="17" s="1"/>
  <c r="E13" i="30" s="1"/>
  <c r="F13" i="30" s="1"/>
  <c r="R19" i="30"/>
  <c r="R22" i="30"/>
  <c r="L23" i="30"/>
  <c r="W29" i="30" s="1"/>
  <c r="L19" i="30"/>
  <c r="AE11" i="17"/>
  <c r="AM11" i="17" s="1"/>
  <c r="W10" i="19" s="1"/>
  <c r="AC11" i="17"/>
  <c r="E26" i="30"/>
  <c r="AI11" i="17"/>
  <c r="AK11" i="17"/>
  <c r="AM10" i="17"/>
  <c r="N8" i="23"/>
  <c r="X7" i="19"/>
  <c r="G9" i="23"/>
  <c r="Y12" i="17"/>
  <c r="V13" i="17"/>
  <c r="R21" i="30"/>
  <c r="F24" i="30"/>
  <c r="C10" i="23"/>
  <c r="Q22" i="30"/>
  <c r="L11" i="30" l="1"/>
  <c r="J12" i="30"/>
  <c r="N13" i="30"/>
  <c r="I13" i="30"/>
  <c r="H13" i="30"/>
  <c r="J13" i="30" s="1"/>
  <c r="K13" i="30"/>
  <c r="O13" i="30"/>
  <c r="Q13" i="30" s="1"/>
  <c r="X37" i="17"/>
  <c r="Y37" i="17" s="1"/>
  <c r="Y36" i="17"/>
  <c r="Z36" i="17" s="1"/>
  <c r="E14" i="30" s="1"/>
  <c r="F14" i="30" s="1"/>
  <c r="K12" i="30"/>
  <c r="Q12" i="30"/>
  <c r="R12" i="30" s="1"/>
  <c r="AK12" i="17"/>
  <c r="E27" i="30"/>
  <c r="AC12" i="17"/>
  <c r="AE12" i="17"/>
  <c r="AM12" i="17" s="1"/>
  <c r="W11" i="19" s="1"/>
  <c r="AI12" i="17"/>
  <c r="W9" i="19"/>
  <c r="Y13" i="17"/>
  <c r="V14" i="17"/>
  <c r="Y8" i="23"/>
  <c r="F10" i="23"/>
  <c r="BI9" i="17" s="1"/>
  <c r="G12" i="23"/>
  <c r="X10" i="19"/>
  <c r="O24" i="30"/>
  <c r="N24" i="30"/>
  <c r="Q24" i="30" s="1"/>
  <c r="C9" i="23"/>
  <c r="F23" i="30"/>
  <c r="P13" i="30" l="1"/>
  <c r="R13" i="30" s="1"/>
  <c r="L12" i="30"/>
  <c r="Z37" i="17"/>
  <c r="E15" i="30" s="1"/>
  <c r="F15" i="30" s="1"/>
  <c r="AO36" i="17"/>
  <c r="AP39" i="17" s="1"/>
  <c r="O14" i="30"/>
  <c r="H14" i="30"/>
  <c r="N14" i="30"/>
  <c r="I14" i="30"/>
  <c r="L13" i="30"/>
  <c r="N23" i="30"/>
  <c r="Q23" i="30" s="1"/>
  <c r="O23" i="30"/>
  <c r="X9" i="19"/>
  <c r="G11" i="23"/>
  <c r="F26" i="30"/>
  <c r="C12" i="23"/>
  <c r="N10" i="23"/>
  <c r="Y10" i="23" s="1"/>
  <c r="X11" i="19"/>
  <c r="G13" i="23"/>
  <c r="V15" i="17"/>
  <c r="Y14" i="17"/>
  <c r="F9" i="23"/>
  <c r="N9" i="23" s="1"/>
  <c r="AK13" i="17"/>
  <c r="E28" i="30"/>
  <c r="AC13" i="17"/>
  <c r="AE13" i="17"/>
  <c r="AM13" i="17" s="1"/>
  <c r="AI13" i="17"/>
  <c r="P24" i="30"/>
  <c r="R24" i="30" s="1"/>
  <c r="K14" i="30" l="1"/>
  <c r="P14" i="30"/>
  <c r="Q14" i="30"/>
  <c r="J14" i="30"/>
  <c r="O15" i="30"/>
  <c r="I15" i="30"/>
  <c r="N15" i="30"/>
  <c r="H15" i="30"/>
  <c r="J15" i="30" s="1"/>
  <c r="W12" i="19"/>
  <c r="AE14" i="17"/>
  <c r="AM14" i="17" s="1"/>
  <c r="W13" i="19" s="1"/>
  <c r="AI14" i="17"/>
  <c r="AC14" i="17"/>
  <c r="AK14" i="17"/>
  <c r="V16" i="17"/>
  <c r="Y15" i="17"/>
  <c r="F12" i="23"/>
  <c r="BI11" i="17" s="1"/>
  <c r="BI8" i="17"/>
  <c r="F27" i="30"/>
  <c r="C13" i="23"/>
  <c r="Y9" i="23"/>
  <c r="C11" i="23"/>
  <c r="F25" i="30"/>
  <c r="P23" i="30"/>
  <c r="P15" i="30" l="1"/>
  <c r="Q15" i="30"/>
  <c r="K15" i="30"/>
  <c r="K28" i="30" s="1"/>
  <c r="W23" i="30" s="1"/>
  <c r="R14" i="30"/>
  <c r="R15" i="30"/>
  <c r="L14" i="30"/>
  <c r="J23" i="30"/>
  <c r="G15" i="23"/>
  <c r="X13" i="19"/>
  <c r="C15" i="23" s="1"/>
  <c r="R23" i="30"/>
  <c r="N25" i="30"/>
  <c r="O25" i="30"/>
  <c r="N12" i="23"/>
  <c r="Y12" i="23" s="1"/>
  <c r="AK15" i="17"/>
  <c r="AK20" i="17" s="1"/>
  <c r="AC15" i="17"/>
  <c r="AI15" i="17"/>
  <c r="AE15" i="17"/>
  <c r="F11" i="23"/>
  <c r="N11" i="23" s="1"/>
  <c r="F13" i="23"/>
  <c r="BI12" i="17" s="1"/>
  <c r="V17" i="17"/>
  <c r="Y17" i="17" s="1"/>
  <c r="Y16" i="17"/>
  <c r="X12" i="19"/>
  <c r="G14" i="23"/>
  <c r="F28" i="19" l="1"/>
  <c r="J28" i="30"/>
  <c r="K23" i="30"/>
  <c r="W22" i="30"/>
  <c r="W27" i="30"/>
  <c r="W28" i="30" s="1"/>
  <c r="L15" i="30"/>
  <c r="L28" i="30" s="1"/>
  <c r="W24" i="30" s="1"/>
  <c r="Q25" i="30"/>
  <c r="K29" i="30" s="1"/>
  <c r="X23" i="30" s="1"/>
  <c r="Y11" i="23"/>
  <c r="AM15" i="17"/>
  <c r="AE20" i="17"/>
  <c r="F15" i="23"/>
  <c r="BI14" i="17" s="1"/>
  <c r="N13" i="23"/>
  <c r="Y13" i="23" s="1"/>
  <c r="P25" i="30"/>
  <c r="BI10" i="17"/>
  <c r="AK16" i="17"/>
  <c r="AI16" i="17"/>
  <c r="AC16" i="17"/>
  <c r="AE16" i="17"/>
  <c r="AM16" i="17" s="1"/>
  <c r="AO11" i="17"/>
  <c r="AO12" i="17" s="1"/>
  <c r="AE17" i="17"/>
  <c r="AM17" i="17" s="1"/>
  <c r="AC17" i="17"/>
  <c r="AK17" i="17"/>
  <c r="AI17" i="17"/>
  <c r="F28" i="30"/>
  <c r="C14" i="23"/>
  <c r="F17" i="23" l="1"/>
  <c r="N17" i="23" s="1"/>
  <c r="F29" i="19"/>
  <c r="Y17" i="23" s="1"/>
  <c r="N15" i="23"/>
  <c r="Y15" i="23" s="1"/>
  <c r="W14" i="19"/>
  <c r="AM20" i="17"/>
  <c r="F14" i="23"/>
  <c r="BI13" i="17" s="1"/>
  <c r="L24" i="30"/>
  <c r="X29" i="30" s="1"/>
  <c r="R25" i="30"/>
  <c r="L29" i="30" s="1"/>
  <c r="X24" i="30" s="1"/>
  <c r="J24" i="30"/>
  <c r="O17" i="23" l="1"/>
  <c r="X17" i="23" s="1"/>
  <c r="N14" i="23"/>
  <c r="K24" i="30"/>
  <c r="X27" i="30"/>
  <c r="X28" i="30" s="1"/>
  <c r="X22" i="30"/>
  <c r="F30" i="19"/>
  <c r="J29" i="30"/>
  <c r="X14" i="19"/>
  <c r="C16" i="23" s="1"/>
  <c r="G16" i="23"/>
  <c r="G25" i="23" s="1"/>
  <c r="H9" i="24" s="1"/>
  <c r="F16" i="23" l="1"/>
  <c r="BI15" i="17" s="1"/>
  <c r="C25" i="23"/>
  <c r="M7" i="24"/>
  <c r="F18" i="23"/>
  <c r="F31" i="19"/>
  <c r="Y18" i="23" s="1"/>
  <c r="Y14" i="23"/>
  <c r="N16" i="23" l="1"/>
  <c r="Y16" i="23" s="1"/>
  <c r="Y25" i="23" s="1"/>
  <c r="N18" i="23"/>
  <c r="F25" i="23"/>
  <c r="M9" i="24" s="1"/>
  <c r="H11" i="24" l="1"/>
  <c r="O18" i="23"/>
  <c r="N25" i="23"/>
  <c r="H7" i="24" s="1"/>
  <c r="I7" i="24" s="1"/>
  <c r="M4" i="24"/>
  <c r="M5" i="24" l="1"/>
  <c r="C38" i="19"/>
  <c r="H19" i="26"/>
  <c r="H17" i="24"/>
  <c r="U25" i="19"/>
  <c r="X18" i="23"/>
  <c r="X25" i="23" s="1"/>
  <c r="O25" i="23"/>
  <c r="BC2" i="17" s="1"/>
  <c r="M34" i="24" l="1"/>
  <c r="BC15" i="17"/>
  <c r="H29" i="26"/>
  <c r="J29" i="26" s="1"/>
  <c r="U31" i="19"/>
  <c r="H25" i="26"/>
  <c r="J25" i="26" s="1"/>
  <c r="J19" i="26"/>
  <c r="M8" i="24"/>
  <c r="M10" i="24" s="1"/>
  <c r="H10" i="24"/>
  <c r="I11" i="24" s="1"/>
  <c r="BE1" i="17" l="1"/>
  <c r="BD20" i="17"/>
  <c r="BD21" i="17" s="1"/>
  <c r="BD22" i="17" s="1"/>
  <c r="BC17" i="17"/>
  <c r="U27" i="19"/>
  <c r="U28" i="19" s="1"/>
  <c r="U30" i="19" s="1"/>
  <c r="U32" i="19" s="1"/>
  <c r="U34" i="19" s="1"/>
  <c r="U36" i="19" s="1"/>
  <c r="H27" i="26"/>
  <c r="J28" i="26" s="1"/>
  <c r="I12" i="24"/>
  <c r="I16" i="24" s="1"/>
  <c r="I18" i="24" s="1"/>
  <c r="I22" i="24" s="1"/>
  <c r="I32" i="24" s="1"/>
  <c r="M47" i="24" l="1"/>
  <c r="BE2" i="17"/>
  <c r="BE15" i="17" s="1"/>
  <c r="BF2" i="17"/>
  <c r="BE16" i="17"/>
  <c r="BF16" i="17" s="1"/>
  <c r="J30" i="26"/>
  <c r="J35" i="26" s="1"/>
  <c r="J40" i="26" s="1"/>
  <c r="BD2" i="17"/>
  <c r="BD15" i="17" s="1"/>
  <c r="BD23" i="17"/>
  <c r="BD16" i="17" s="1"/>
  <c r="H48" i="24" l="1"/>
  <c r="M36" i="24"/>
  <c r="BD17" i="17"/>
  <c r="M35" i="24"/>
  <c r="H34" i="24"/>
  <c r="BF15" i="17"/>
  <c r="BF17" i="17" s="1"/>
  <c r="BE17" i="17"/>
  <c r="H43" i="26" l="1"/>
  <c r="H47" i="24"/>
  <c r="I47" i="24" s="1"/>
  <c r="F29" i="29"/>
  <c r="G29" i="29" s="1"/>
  <c r="H57" i="26"/>
  <c r="I57" i="26" s="1"/>
  <c r="J57" i="26" s="1"/>
  <c r="I48" i="24"/>
  <c r="U37" i="19" l="1"/>
  <c r="U38" i="19" s="1"/>
  <c r="AD32" i="19"/>
  <c r="AD31" i="19" s="1"/>
  <c r="M48" i="24"/>
  <c r="AD33" i="19"/>
  <c r="AD34" i="19" s="1"/>
  <c r="I51" i="24"/>
  <c r="F52" i="29"/>
  <c r="G52" i="29" s="1"/>
  <c r="U39" i="19"/>
  <c r="M49" i="24"/>
  <c r="I43" i="26"/>
  <c r="H56" i="26"/>
  <c r="I56" i="26" s="1"/>
  <c r="J56" i="26" s="1"/>
  <c r="J58" i="26" s="1"/>
  <c r="J70" i="26" s="1"/>
  <c r="U40" i="19" l="1"/>
  <c r="W34" i="19" s="1"/>
  <c r="AD35" i="19"/>
  <c r="M50" i="24"/>
  <c r="M51" i="24" s="1"/>
  <c r="J71" i="26"/>
  <c r="J2" i="27" s="1"/>
  <c r="H71" i="26"/>
  <c r="H58" i="24"/>
  <c r="J4" i="27" s="1"/>
  <c r="F53" i="24"/>
  <c r="F54" i="24" s="1"/>
  <c r="AC6" i="30"/>
  <c r="F56" i="24"/>
  <c r="F58" i="24"/>
  <c r="E4" i="27" s="1"/>
  <c r="F55" i="24" l="1"/>
  <c r="W32" i="19" s="1"/>
  <c r="AE6" i="30"/>
  <c r="AC8" i="30"/>
  <c r="V12" i="30"/>
  <c r="U50" i="31"/>
  <c r="U52" i="31" s="1"/>
  <c r="H56" i="24"/>
  <c r="X33" i="19" s="1"/>
  <c r="W33" i="19"/>
  <c r="W31" i="19"/>
  <c r="H54" i="24"/>
  <c r="X31" i="19" s="1"/>
  <c r="H53" i="24"/>
  <c r="W30" i="19"/>
  <c r="H55" i="24" l="1"/>
  <c r="X32" i="19" s="1"/>
  <c r="AC14" i="30"/>
  <c r="AB9" i="30"/>
  <c r="AB10" i="30" s="1"/>
  <c r="AC10" i="30" s="1"/>
  <c r="AB12" i="30"/>
  <c r="AC12" i="30" s="1"/>
  <c r="X30" i="19"/>
  <c r="AD9" i="30"/>
  <c r="AD10" i="30" s="1"/>
  <c r="AE10" i="30" s="1"/>
  <c r="AD12" i="30"/>
  <c r="AE12" i="30" s="1"/>
  <c r="AE8" i="30"/>
  <c r="X36" i="19" l="1"/>
  <c r="I57" i="24"/>
  <c r="I59" i="24" s="1"/>
  <c r="AD11" i="30"/>
  <c r="AE11" i="30" s="1"/>
  <c r="AC9" i="30"/>
  <c r="AB11" i="30"/>
  <c r="AC11" i="30" s="1"/>
  <c r="AE14" i="30"/>
  <c r="AE9" i="30"/>
  <c r="J3" i="27" l="1"/>
  <c r="J5" i="27" s="1"/>
  <c r="AD13" i="30"/>
  <c r="AE13" i="30"/>
  <c r="AE15" i="30" s="1"/>
  <c r="AE16" i="30" s="1"/>
  <c r="AC13" i="30"/>
  <c r="AC15" i="30" s="1"/>
  <c r="AC16" i="30" s="1"/>
  <c r="AC17" i="30" s="1"/>
  <c r="X37" i="19"/>
  <c r="H60" i="24"/>
  <c r="J6" i="27" s="1"/>
  <c r="G60" i="24"/>
  <c r="AB13" i="30"/>
  <c r="J7" i="27" l="1"/>
  <c r="AE17" i="30"/>
  <c r="U54" i="31" s="1"/>
  <c r="U53" i="31"/>
  <c r="I61" i="24"/>
  <c r="G61" i="24"/>
  <c r="U55" i="31" l="1"/>
  <c r="U59" i="31" s="1"/>
  <c r="AE18" i="30"/>
  <c r="X12" i="30" s="1"/>
  <c r="X16" i="30" s="1"/>
  <c r="H62" i="24" s="1"/>
  <c r="I62" i="24" s="1"/>
  <c r="X38" i="19"/>
  <c r="X39" i="19" s="1"/>
  <c r="I64" i="24" l="1"/>
  <c r="I42" i="19" s="1"/>
  <c r="F62" i="24"/>
  <c r="W35" i="19"/>
  <c r="B53" i="19"/>
  <c r="J8" i="27"/>
  <c r="J9" i="27" s="1"/>
  <c r="AG35" i="30"/>
  <c r="S42" i="19" l="1"/>
  <c r="B2" i="19"/>
  <c r="X40" i="19"/>
  <c r="H3" i="17"/>
  <c r="H8" i="17" s="1"/>
  <c r="J12" i="27"/>
  <c r="K12" i="17" l="1"/>
  <c r="K18" i="17"/>
  <c r="H17" i="17"/>
  <c r="H18" i="17"/>
  <c r="H12" i="17"/>
  <c r="H11" i="17"/>
  <c r="I8" i="17"/>
  <c r="I18" i="17" l="1"/>
  <c r="I11" i="17"/>
  <c r="I12" i="17"/>
  <c r="I17" i="17"/>
  <c r="J8" i="17"/>
  <c r="J12" i="17" l="1"/>
  <c r="J18" i="17"/>
  <c r="J17" i="17"/>
  <c r="J11" i="17"/>
  <c r="K8" i="17"/>
  <c r="I9" i="17" l="1"/>
  <c r="K17" i="17"/>
  <c r="H20" i="17" s="1"/>
  <c r="K11" i="17"/>
  <c r="H9" i="17"/>
  <c r="J9" i="17" l="1"/>
  <c r="H14" i="17" s="1"/>
  <c r="C31" i="27" s="1"/>
  <c r="C32" i="27" s="1"/>
</calcChain>
</file>

<file path=xl/sharedStrings.xml><?xml version="1.0" encoding="utf-8"?>
<sst xmlns="http://schemas.openxmlformats.org/spreadsheetml/2006/main" count="1212" uniqueCount="929">
  <si>
    <t>BasicPay</t>
  </si>
  <si>
    <t>Not Applicable</t>
  </si>
  <si>
    <t>AAS</t>
  </si>
  <si>
    <t>CPS</t>
  </si>
  <si>
    <t>MONTH</t>
  </si>
  <si>
    <t>AGI</t>
  </si>
  <si>
    <t>AAS DATE</t>
  </si>
  <si>
    <t>EL's B.P. final</t>
  </si>
  <si>
    <t>EL's B.P. intial</t>
  </si>
  <si>
    <t>NOT APPLICABLE</t>
  </si>
  <si>
    <t>One</t>
  </si>
  <si>
    <t>ఒక</t>
  </si>
  <si>
    <t>Two</t>
  </si>
  <si>
    <t>రెండు</t>
  </si>
  <si>
    <t>Three</t>
  </si>
  <si>
    <t>మూడు</t>
  </si>
  <si>
    <t>Four</t>
  </si>
  <si>
    <t>నాలుగు</t>
  </si>
  <si>
    <t>Five</t>
  </si>
  <si>
    <t>ఐదు</t>
  </si>
  <si>
    <t>Six</t>
  </si>
  <si>
    <t>ఆరు</t>
  </si>
  <si>
    <t>Seven</t>
  </si>
  <si>
    <t>ఏడు</t>
  </si>
  <si>
    <t>Eight</t>
  </si>
  <si>
    <t>ఎనిమిది</t>
  </si>
  <si>
    <t>Nine</t>
  </si>
  <si>
    <t>తొమ్మిది</t>
  </si>
  <si>
    <t>Ten</t>
  </si>
  <si>
    <t>పది</t>
  </si>
  <si>
    <t>Eleven</t>
  </si>
  <si>
    <t>పదకొండు</t>
  </si>
  <si>
    <t>Twelve</t>
  </si>
  <si>
    <t>పన్నెండు</t>
  </si>
  <si>
    <t>Thirteen</t>
  </si>
  <si>
    <t>పదమూడు</t>
  </si>
  <si>
    <t>Fourteen</t>
  </si>
  <si>
    <t>పద్నాలుగు</t>
  </si>
  <si>
    <t>Fifteen</t>
  </si>
  <si>
    <t>పదహైదు</t>
  </si>
  <si>
    <t>Sixteen</t>
  </si>
  <si>
    <t>పదహారు</t>
  </si>
  <si>
    <t>Seventeen</t>
  </si>
  <si>
    <t>పదిహేడు</t>
  </si>
  <si>
    <t>Eighteen</t>
  </si>
  <si>
    <t>పద్దెనిమిది</t>
  </si>
  <si>
    <t>Ninteen</t>
  </si>
  <si>
    <t>పంతొమ్మిది</t>
  </si>
  <si>
    <t>Twenty</t>
  </si>
  <si>
    <t>ఇరవై</t>
  </si>
  <si>
    <t>Twenty One</t>
  </si>
  <si>
    <t>ఇరవై ఒక్క</t>
  </si>
  <si>
    <t>Twenty Two</t>
  </si>
  <si>
    <t>ఇరవై రెండు</t>
  </si>
  <si>
    <t>Twenty Three</t>
  </si>
  <si>
    <t>ఇరవై మూడు</t>
  </si>
  <si>
    <t>Twenty Four</t>
  </si>
  <si>
    <t>ఇరవై నాలుగు</t>
  </si>
  <si>
    <t>Twenty Five</t>
  </si>
  <si>
    <t>ఇరవై ఐదు</t>
  </si>
  <si>
    <t>Twenty Six</t>
  </si>
  <si>
    <t>ఇరవై ఆరు</t>
  </si>
  <si>
    <t>Twenty Seven</t>
  </si>
  <si>
    <t>ఇరవై ఏడు</t>
  </si>
  <si>
    <t>Twenty Eight</t>
  </si>
  <si>
    <t>ఇరవై ఎనిమిది</t>
  </si>
  <si>
    <t>Twenty Nine</t>
  </si>
  <si>
    <t>ఇరవై తొమ్మిది</t>
  </si>
  <si>
    <t>Thirty</t>
  </si>
  <si>
    <t>మప్పై</t>
  </si>
  <si>
    <t>Thirty One</t>
  </si>
  <si>
    <t>ముప్పై ఒక్క</t>
  </si>
  <si>
    <t>Thirty Two</t>
  </si>
  <si>
    <t>ముప్పై రెండు</t>
  </si>
  <si>
    <t>Thirty Three</t>
  </si>
  <si>
    <t>ముప్పై మూడు</t>
  </si>
  <si>
    <t>Thirty Four</t>
  </si>
  <si>
    <t>ముప్పై నాలుగు</t>
  </si>
  <si>
    <t>Thirty Five</t>
  </si>
  <si>
    <t>ముప్పై ఐదు</t>
  </si>
  <si>
    <t>Thirty Six</t>
  </si>
  <si>
    <t>ముప్పై ఆరు</t>
  </si>
  <si>
    <t>Thirty Seven</t>
  </si>
  <si>
    <t>ముప్పై ఏడు</t>
  </si>
  <si>
    <t>Thirty Eight</t>
  </si>
  <si>
    <t>ముప్పై ఎనిమిది</t>
  </si>
  <si>
    <t>Thirty Nine</t>
  </si>
  <si>
    <t>ముప్పై తొమ్మిది</t>
  </si>
  <si>
    <t>Forty</t>
  </si>
  <si>
    <t xml:space="preserve">నలభై </t>
  </si>
  <si>
    <t>Forty One</t>
  </si>
  <si>
    <t>నలభై ఒక్క</t>
  </si>
  <si>
    <t>Forty Two</t>
  </si>
  <si>
    <t>నలభై రెండు</t>
  </si>
  <si>
    <t>Forty Three</t>
  </si>
  <si>
    <t>నలభై మూడు</t>
  </si>
  <si>
    <t>Forty Four</t>
  </si>
  <si>
    <t>నలభై నాలుగు</t>
  </si>
  <si>
    <t>Forty Five</t>
  </si>
  <si>
    <t>నలభై ఐదు</t>
  </si>
  <si>
    <t>Forty Six</t>
  </si>
  <si>
    <t>నలభై ఆరు</t>
  </si>
  <si>
    <t>Forty Seven</t>
  </si>
  <si>
    <t>నలభై ఏడు</t>
  </si>
  <si>
    <t>Forty Eight</t>
  </si>
  <si>
    <t>నలభై ఎనిమిది</t>
  </si>
  <si>
    <t>Forty Nine</t>
  </si>
  <si>
    <t>నలభై తొమ్మిది</t>
  </si>
  <si>
    <t>Fifty</t>
  </si>
  <si>
    <t>యాభై</t>
  </si>
  <si>
    <t>Fifty One</t>
  </si>
  <si>
    <t>యాభై ఒక్క</t>
  </si>
  <si>
    <t>Fifty Two</t>
  </si>
  <si>
    <t>యాభై రెండు</t>
  </si>
  <si>
    <t>Fifty Three</t>
  </si>
  <si>
    <t>యాభై మూడు</t>
  </si>
  <si>
    <t>Fifty Four</t>
  </si>
  <si>
    <t>యాభై నాలుగు</t>
  </si>
  <si>
    <t>Fifty Five</t>
  </si>
  <si>
    <t>యాభై ఐదు</t>
  </si>
  <si>
    <t>Fifty Six</t>
  </si>
  <si>
    <t>యాభై ఆరు</t>
  </si>
  <si>
    <t>Fifty Seven</t>
  </si>
  <si>
    <t>యాభై ఏడు</t>
  </si>
  <si>
    <t>Fifty Eight</t>
  </si>
  <si>
    <t>యాభై ఎనిమిది</t>
  </si>
  <si>
    <t>Fifty Nine</t>
  </si>
  <si>
    <t>యాభై తొమ్మిది</t>
  </si>
  <si>
    <t>Sixty</t>
  </si>
  <si>
    <t>అరవై</t>
  </si>
  <si>
    <t>Sixty One</t>
  </si>
  <si>
    <t>అరవై ఒక్క</t>
  </si>
  <si>
    <t>Sixty Two</t>
  </si>
  <si>
    <t>అరవై రెండు</t>
  </si>
  <si>
    <t>Sixty Three</t>
  </si>
  <si>
    <t>అరవై మూడు</t>
  </si>
  <si>
    <t>Sixty Four</t>
  </si>
  <si>
    <t>అరవై నాలుగు</t>
  </si>
  <si>
    <t>Sixty Five</t>
  </si>
  <si>
    <t>అరవై ఐదు</t>
  </si>
  <si>
    <t>Sixty Six</t>
  </si>
  <si>
    <t>అరవై ఆరు</t>
  </si>
  <si>
    <t>Sixty Seven</t>
  </si>
  <si>
    <t>అరవై ఏడు</t>
  </si>
  <si>
    <t>Sixty Eight</t>
  </si>
  <si>
    <t>అరవై ఎనిమిది</t>
  </si>
  <si>
    <t>Sixty Nine</t>
  </si>
  <si>
    <t>అరవై తొమ్మిది</t>
  </si>
  <si>
    <t>Seventy</t>
  </si>
  <si>
    <t>డెబ్భై</t>
  </si>
  <si>
    <t>Seventy One</t>
  </si>
  <si>
    <t>డెబ్భై ఒక్క</t>
  </si>
  <si>
    <t>Seventy Two</t>
  </si>
  <si>
    <t>డెబ్భై రెండు</t>
  </si>
  <si>
    <t>Seventy Three</t>
  </si>
  <si>
    <t>డెబ్భై మూడు</t>
  </si>
  <si>
    <t>Seventy Four</t>
  </si>
  <si>
    <t>డెబ్భై నాలుగు</t>
  </si>
  <si>
    <t>Seventy Five</t>
  </si>
  <si>
    <t>డెబ్భై ఐదు</t>
  </si>
  <si>
    <t>Seventy Six</t>
  </si>
  <si>
    <t>డెబ్భై ఆరు</t>
  </si>
  <si>
    <t>Seventy Seven</t>
  </si>
  <si>
    <t>డెబ్భై ఏడు</t>
  </si>
  <si>
    <t>Seventy Eight</t>
  </si>
  <si>
    <t>డెబ్భై ఎనిమిది</t>
  </si>
  <si>
    <t>Seventy Nine</t>
  </si>
  <si>
    <t>డెబ్భై తొమ్మిది</t>
  </si>
  <si>
    <t>Eighty</t>
  </si>
  <si>
    <t xml:space="preserve">ఎనభై </t>
  </si>
  <si>
    <t>Eighty One</t>
  </si>
  <si>
    <t>ఎనభై ఒక్క</t>
  </si>
  <si>
    <t>Eighty Two</t>
  </si>
  <si>
    <t>ఎనభై రెండు</t>
  </si>
  <si>
    <t>Eighty Three</t>
  </si>
  <si>
    <t>ఎనభై మూడు</t>
  </si>
  <si>
    <t>Eighty Four</t>
  </si>
  <si>
    <t>ఎనభై నాలుగు</t>
  </si>
  <si>
    <t>Eighty Five</t>
  </si>
  <si>
    <t>ఎనభై ఐదు</t>
  </si>
  <si>
    <t>Eighty Six</t>
  </si>
  <si>
    <t>ఎనభై ఆరు</t>
  </si>
  <si>
    <t>Eighty Seven</t>
  </si>
  <si>
    <t>ఎనభై ఏడు</t>
  </si>
  <si>
    <t>Eighty Eight</t>
  </si>
  <si>
    <t>ఎనభై ఎనిమిది</t>
  </si>
  <si>
    <t>Eighty Nine</t>
  </si>
  <si>
    <t>ఎనభై తొమ్మిది</t>
  </si>
  <si>
    <t>Ninety</t>
  </si>
  <si>
    <t>తొంభై</t>
  </si>
  <si>
    <t>Ninety One</t>
  </si>
  <si>
    <t>తొంభై ఒక్క</t>
  </si>
  <si>
    <t>Ninety Two</t>
  </si>
  <si>
    <t>తొంభై రెండు</t>
  </si>
  <si>
    <t>Ninety Three</t>
  </si>
  <si>
    <t>తొంభై మూడు</t>
  </si>
  <si>
    <t>Ninety Four</t>
  </si>
  <si>
    <t>తొంభై నాలుగు</t>
  </si>
  <si>
    <t>Ninety Five</t>
  </si>
  <si>
    <t>తొంభై ఐదు</t>
  </si>
  <si>
    <t>Ninety Six</t>
  </si>
  <si>
    <t>తొంభై ఆరు</t>
  </si>
  <si>
    <t>Ninety Seven</t>
  </si>
  <si>
    <t>తొంభై ఏడు</t>
  </si>
  <si>
    <t>Ninety Eight</t>
  </si>
  <si>
    <t>తొంభై ఎనిమిది</t>
  </si>
  <si>
    <t>Ninety Nine</t>
  </si>
  <si>
    <t>తొంభై తొమ్మిది</t>
  </si>
  <si>
    <t>NO</t>
  </si>
  <si>
    <t>EL_MONTH_2018</t>
  </si>
  <si>
    <t>HRA</t>
  </si>
  <si>
    <t>HCA</t>
  </si>
  <si>
    <t>CCA</t>
  </si>
  <si>
    <t>AHRA</t>
  </si>
  <si>
    <t>PHA</t>
  </si>
  <si>
    <t>GPF</t>
  </si>
  <si>
    <t>APGLI</t>
  </si>
  <si>
    <t>GIS</t>
  </si>
  <si>
    <t>P.TAX</t>
  </si>
  <si>
    <t>EHF</t>
  </si>
  <si>
    <t>CMRF</t>
  </si>
  <si>
    <t>S.S.S.</t>
  </si>
  <si>
    <t>SWF</t>
  </si>
  <si>
    <t>EWF</t>
  </si>
  <si>
    <t>Deds Months</t>
  </si>
  <si>
    <t>NO CHANGE</t>
  </si>
  <si>
    <t>With All Holidays</t>
  </si>
  <si>
    <t>Without Holidays</t>
  </si>
  <si>
    <t>RA_PHA_SELECTION</t>
  </si>
  <si>
    <t>Summer Holidays Only</t>
  </si>
  <si>
    <t>Allowances
and
Deductions</t>
  </si>
  <si>
    <t>LIC PREMIUMS (BY HAND)</t>
  </si>
  <si>
    <t>POSTAL LIFE INSURANCE</t>
  </si>
  <si>
    <t>SBI LIFE INSURANCE</t>
  </si>
  <si>
    <t>PUBLIC PROVIDENT FUND</t>
  </si>
  <si>
    <t>TUTION FEE FOR CHILDREN</t>
  </si>
  <si>
    <t>HOME LOAN PRINCIPLE AMOUNT</t>
  </si>
  <si>
    <t>INCOME FROM OTHER SOURCES</t>
  </si>
  <si>
    <t>INCOME FROM CAPITAL GAINS</t>
  </si>
  <si>
    <t>INCOME FROM HOUSE PROPERTY</t>
  </si>
  <si>
    <t>INTEREST OF EDUCATIONAL LOAN</t>
  </si>
  <si>
    <t>DEDUCTIONS FOR DISABLED</t>
  </si>
  <si>
    <t>DONATIONS OF CHARITABLE TRUST</t>
  </si>
  <si>
    <t xml:space="preserve">STAMP DUTY &amp; REGISTRATION </t>
  </si>
  <si>
    <t>ATAL PENSION YOJANA</t>
  </si>
  <si>
    <t>SIGNATURE OF THE EMPLOYEE</t>
  </si>
  <si>
    <t>SIGNATURE OF THE DDO</t>
  </si>
  <si>
    <t>TOTAL</t>
  </si>
  <si>
    <t>D.A. (2)</t>
  </si>
  <si>
    <t>D.A. (1)</t>
  </si>
  <si>
    <t>D.A.
%</t>
  </si>
  <si>
    <t>HRA
%</t>
  </si>
  <si>
    <t xml:space="preserve">NET
</t>
  </si>
  <si>
    <t>TOTAL
DEDs</t>
  </si>
  <si>
    <t>ADV.
TAX</t>
  </si>
  <si>
    <t>EWF
SWF
CMRF</t>
  </si>
  <si>
    <t>GROSS</t>
  </si>
  <si>
    <t>Reader
Allow</t>
  </si>
  <si>
    <t>ADDL
HRA</t>
  </si>
  <si>
    <t>DA</t>
  </si>
  <si>
    <t>BASIC PAY</t>
  </si>
  <si>
    <t>HMA</t>
  </si>
  <si>
    <t>SPL / FPA</t>
  </si>
  <si>
    <t>SPL
FPA</t>
  </si>
  <si>
    <t>S.S.S.
(LIC)</t>
  </si>
  <si>
    <t>OTHER</t>
  </si>
  <si>
    <t>CPS/GPF</t>
  </si>
  <si>
    <t>CHILD FEE</t>
  </si>
  <si>
    <t>Prepared by :   RAMANJANEYULU PERUMAL_S.G.TEACHER__ALUR MANDAL__KURNOOL Dist. (9963535304)</t>
  </si>
  <si>
    <t>CPS / GPF DEDUCTION CALCULATION</t>
  </si>
  <si>
    <t>READER
ALLOW</t>
  </si>
  <si>
    <t>PH
ALLOW</t>
  </si>
  <si>
    <t>HRA %</t>
  </si>
  <si>
    <t>NAME</t>
  </si>
  <si>
    <t>DESIGNATION</t>
  </si>
  <si>
    <t>EMP.PAN.</t>
  </si>
  <si>
    <t>OFFICE</t>
  </si>
  <si>
    <t>VILLAGE</t>
  </si>
  <si>
    <t>MANDAL</t>
  </si>
  <si>
    <t>DISTRICT</t>
  </si>
  <si>
    <t>DDO NAME</t>
  </si>
  <si>
    <t>DDO Design.</t>
  </si>
  <si>
    <t>DDO Office</t>
  </si>
  <si>
    <t>DDO TAN</t>
  </si>
  <si>
    <t>DDO PAN</t>
  </si>
  <si>
    <t>MANDAL EDUCATIONAL OFFICER</t>
  </si>
  <si>
    <t>MANDAL PARISHAD</t>
  </si>
  <si>
    <t>APGLI   A/C</t>
  </si>
  <si>
    <t>NATIONAL SAVINGS CERTIFICATE</t>
  </si>
  <si>
    <t>SIGNATURE  OF THE EMPLOYEE</t>
  </si>
  <si>
    <t>LESS : TAX Rebate under section 87(A)</t>
  </si>
  <si>
    <t>SLABS ( A+B+C+D )</t>
  </si>
  <si>
    <t>Rs.1000001 &amp;    ABOVE</t>
  </si>
  <si>
    <t>SLAB  D</t>
  </si>
  <si>
    <t>d)</t>
  </si>
  <si>
    <t>Rs.  500001 - Rs.1000000</t>
  </si>
  <si>
    <t>SLAB  C</t>
  </si>
  <si>
    <t>c)</t>
  </si>
  <si>
    <t>Rs.  250001 - Rs.  500000</t>
  </si>
  <si>
    <t>SLAB  B</t>
  </si>
  <si>
    <t>b)</t>
  </si>
  <si>
    <t>Rs.  000000 - Rs.  250000</t>
  </si>
  <si>
    <t>SLAB  A</t>
  </si>
  <si>
    <t>a)</t>
  </si>
  <si>
    <t>TAX ON INCOME</t>
  </si>
  <si>
    <t>( Rounded to multiple of Rs. 10 )</t>
  </si>
  <si>
    <t>NET TAXABLE INCOME</t>
  </si>
  <si>
    <t xml:space="preserve"> (Limited to    50,000)</t>
  </si>
  <si>
    <t>j)</t>
  </si>
  <si>
    <t>i)</t>
  </si>
  <si>
    <t>h)</t>
  </si>
  <si>
    <t>g)</t>
  </si>
  <si>
    <t>f)</t>
  </si>
  <si>
    <t>e)</t>
  </si>
  <si>
    <t xml:space="preserve">GROSS  TOTAL  INCOME </t>
  </si>
  <si>
    <t/>
  </si>
  <si>
    <t>Income From Capital Gains</t>
  </si>
  <si>
    <t>Income From other sources</t>
  </si>
  <si>
    <t>(3-4)</t>
  </si>
  <si>
    <t xml:space="preserve">INCOME  FROM  SALARY </t>
  </si>
  <si>
    <t>Profession Tax U/s 16 (3) B</t>
  </si>
  <si>
    <t xml:space="preserve">DEDUCTIONS  FROM  SALARY  INCOME </t>
  </si>
  <si>
    <t>(1-2)</t>
  </si>
  <si>
    <t>(BP+DA)*10%=</t>
  </si>
  <si>
    <t>HRA Exemption as per eligibility U/s 10(13A)</t>
  </si>
  <si>
    <t>GROSS  SALARY</t>
  </si>
  <si>
    <t>2019-2020</t>
  </si>
  <si>
    <t>INCOME TAX CALCULATION</t>
  </si>
  <si>
    <t>2018-2019</t>
  </si>
  <si>
    <t>ASSESSMENT YEAR</t>
  </si>
  <si>
    <t>ANNEXURE_II</t>
  </si>
  <si>
    <t>FINANCIAL YEAR</t>
  </si>
  <si>
    <t>TOTAL SALARY ( After Standard Deduction )</t>
  </si>
  <si>
    <t>Standard Deduction for Salaried &amp; Pensioner (Rs 40,000) Budget 2018</t>
  </si>
  <si>
    <t>E.W.F &amp; S.W.F &amp; CMRF          U/s 80(G)</t>
  </si>
  <si>
    <t>Employee Health Scheme(EHS) 80(D)</t>
  </si>
  <si>
    <t>Max : Rs. 75000 (&lt;80%) ; Rs. 125000 (&gt;80%)</t>
  </si>
  <si>
    <t>Donation for __________________</t>
  </si>
  <si>
    <t>SUKANYA SAMRIDHI YOJANA</t>
  </si>
  <si>
    <t>G.I.S.    ( Group Insurance Scheme )</t>
  </si>
  <si>
    <t>POSTAL LIFE INSURANCE (PLI/RPLI)</t>
  </si>
  <si>
    <t>S.B.I. LIFE INSURANCE</t>
  </si>
  <si>
    <t>k)</t>
  </si>
  <si>
    <t>l)</t>
  </si>
  <si>
    <t>m)</t>
  </si>
  <si>
    <t>Interest of Housing        Loan U/s 24(B)</t>
  </si>
  <si>
    <t>Interest of Educational Loan U/s 80(E)</t>
  </si>
  <si>
    <t xml:space="preserve"> (Limited to    25,000)</t>
  </si>
  <si>
    <t>(Mar_2018 to Feb_2019)</t>
  </si>
  <si>
    <t>TOTAL SALARY ( After H.R.A. EXEMPTION )</t>
  </si>
  <si>
    <t>Self / Spouse / Children / Dependents</t>
  </si>
  <si>
    <t>40% of SALARY      ( SALARY means BasicPay+D.A. )</t>
  </si>
  <si>
    <t>HRA EXEMPTION CALCULATION</t>
  </si>
  <si>
    <t>CPS DEDUCTION SPLITTING</t>
  </si>
  <si>
    <t>80C SAVINGS LIST</t>
  </si>
  <si>
    <t>SHRIRAM LIFE INSURANCE</t>
  </si>
  <si>
    <t>VOLUNTARY PROVIDENT FUND (VPF)</t>
  </si>
  <si>
    <t>EMPLOYEE     PROVIDENT FUND (EPF)</t>
  </si>
  <si>
    <t>Equity Linked Savings Scheme  (ELSS)</t>
  </si>
  <si>
    <t>5 Yrs Fixed Deposits ( Bank / Postal )</t>
  </si>
  <si>
    <t>NABARD BONDS</t>
  </si>
  <si>
    <t>Retirement Mutual Funds ( RMF )</t>
  </si>
  <si>
    <t>OTHERS.........................................</t>
  </si>
  <si>
    <t>A</t>
  </si>
  <si>
    <t>B</t>
  </si>
  <si>
    <t xml:space="preserve"> (Limited to 1,50,000)</t>
  </si>
  <si>
    <t xml:space="preserve">  (6+7+8+9)</t>
  </si>
  <si>
    <t>(10-11)</t>
  </si>
  <si>
    <t>TAX on INCOME  after TAX REBATE</t>
  </si>
  <si>
    <t>TAX on INCOME  after adding CESS</t>
  </si>
  <si>
    <t>Income/Loss From House Property U/s 24 (vi)</t>
  </si>
  <si>
    <t>DEDUCTIONS     U/s 80D,80E,80G,80U,24(B)</t>
  </si>
  <si>
    <t>SAVINGS     U/s 80C,80CCC,80CCCD…. Etc.</t>
  </si>
  <si>
    <t>TOTAL SAVINGS U/s 80C</t>
  </si>
  <si>
    <t>National Pension Scheme          U/s 80CCD (1)(B)</t>
  </si>
  <si>
    <t>( SLAB   WISE )</t>
  </si>
  <si>
    <t>YES</t>
  </si>
  <si>
    <t>DETAILS</t>
  </si>
  <si>
    <t>SALARY DEDUCTION</t>
  </si>
  <si>
    <t>Other
Allow</t>
  </si>
  <si>
    <t>N.A.</t>
  </si>
  <si>
    <t>NET INC</t>
  </si>
  <si>
    <t>80C BAL</t>
  </si>
  <si>
    <t>80C TOT</t>
  </si>
  <si>
    <t>NET-3LK</t>
  </si>
  <si>
    <t>MIN.VAL</t>
  </si>
  <si>
    <t>80C SUGGESTION</t>
  </si>
  <si>
    <t>(12-13-14)</t>
  </si>
  <si>
    <t>80C TOTAL</t>
  </si>
  <si>
    <t>C</t>
  </si>
  <si>
    <t>80CCD + RGESS</t>
  </si>
  <si>
    <t>Round off ( A-B-C )=</t>
  </si>
  <si>
    <t>A-B-C =</t>
  </si>
  <si>
    <t>FOR YOUR REFERENCE ONLY</t>
  </si>
  <si>
    <t>INCOME (S.No.12)</t>
  </si>
  <si>
    <t>HRA Exemption</t>
  </si>
  <si>
    <t>SAVINGS (80C )</t>
  </si>
  <si>
    <t>80CCD 1B + RGESS</t>
  </si>
  <si>
    <t>GROSS SALARY</t>
  </si>
  <si>
    <t>OTHER INCOME (+)</t>
  </si>
  <si>
    <t xml:space="preserve">TAXABLE INCOME </t>
  </si>
  <si>
    <t>P.H.A.</t>
  </si>
  <si>
    <t>Reader Allow ?</t>
  </si>
  <si>
    <t>SLAB A</t>
  </si>
  <si>
    <t>SLAB B</t>
  </si>
  <si>
    <t>SLAB C</t>
  </si>
  <si>
    <t>SLAB D</t>
  </si>
  <si>
    <t>TAX in Rs.</t>
  </si>
  <si>
    <t>SLABS</t>
  </si>
  <si>
    <t>After Cess =</t>
  </si>
  <si>
    <t>EWF_SWF_LOANs</t>
  </si>
  <si>
    <t>Rajiv Gandhi Equity Savings Scheme</t>
  </si>
  <si>
    <t>Other Deds</t>
  </si>
  <si>
    <r>
      <rPr>
        <b/>
        <sz val="10"/>
        <color theme="0"/>
        <rFont val="Calibri"/>
        <family val="2"/>
        <scheme val="minor"/>
      </rPr>
      <t>New Pension Scheme</t>
    </r>
    <r>
      <rPr>
        <b/>
        <sz val="10"/>
        <color theme="0"/>
        <rFont val="Berlin Sans FB Demi"/>
        <family val="2"/>
      </rPr>
      <t xml:space="preserve"> ( BY HAND )</t>
    </r>
  </si>
  <si>
    <t>AAS Arrs</t>
  </si>
  <si>
    <t>AAS ARREARS</t>
  </si>
  <si>
    <t>B.PAY</t>
  </si>
  <si>
    <t>GPF_CPS</t>
  </si>
  <si>
    <t>LIC</t>
  </si>
  <si>
    <t>PLI</t>
  </si>
  <si>
    <t>SSY</t>
  </si>
  <si>
    <t>SBI</t>
  </si>
  <si>
    <t>PPF</t>
  </si>
  <si>
    <t>TUTION</t>
  </si>
  <si>
    <t>HomeLoan</t>
  </si>
  <si>
    <t>80CCD 1B</t>
  </si>
  <si>
    <t>FINAL Tot.</t>
  </si>
  <si>
    <t>80C-1.5L</t>
  </si>
  <si>
    <t xml:space="preserve">CPS-(C19) </t>
  </si>
  <si>
    <t xml:space="preserve">GENERAL </t>
  </si>
  <si>
    <t>80C FINAL</t>
  </si>
  <si>
    <t>Manual Boxes.</t>
  </si>
  <si>
    <t>SELECT</t>
  </si>
  <si>
    <t>MONTHs</t>
  </si>
  <si>
    <t>INTEREST OF HOUSING          LOAN</t>
  </si>
  <si>
    <t>RENT PAID minus 10% OF SALARY</t>
  </si>
  <si>
    <t>(BP+DA)*40%=</t>
  </si>
  <si>
    <t>X</t>
  </si>
  <si>
    <t>Y</t>
  </si>
  <si>
    <t>X - Y =</t>
  </si>
  <si>
    <t>Minimum of ABC</t>
  </si>
  <si>
    <t>RECEIVED HRA =</t>
  </si>
  <si>
    <t>Ch.Fee_MRB Claims</t>
  </si>
  <si>
    <r>
      <rPr>
        <b/>
        <sz val="11"/>
        <color theme="0"/>
        <rFont val="Calibri"/>
        <family val="2"/>
      </rPr>
      <t xml:space="preserve">● </t>
    </r>
    <r>
      <rPr>
        <b/>
        <sz val="11"/>
        <color theme="0"/>
        <rFont val="Calibri"/>
        <family val="2"/>
        <scheme val="minor"/>
      </rPr>
      <t>CHILD FEE</t>
    </r>
  </si>
  <si>
    <t xml:space="preserve"> CPS or GPF  →  → →</t>
  </si>
  <si>
    <t>Standard Deduction</t>
  </si>
  <si>
    <t>P.Tax + Allowances</t>
  </si>
  <si>
    <t>BLUE BACKGROUND  ఉన్న BOX లలో
ఇతర SAVINGs ను SELECT చేసుకోవచ్చు.</t>
  </si>
  <si>
    <r>
      <t>NON-TAXABLE Allowances</t>
    </r>
    <r>
      <rPr>
        <b/>
        <sz val="11"/>
        <color theme="1"/>
        <rFont val="Calibri"/>
        <family val="2"/>
        <scheme val="minor"/>
      </rPr>
      <t xml:space="preserve"> (IF ANY)</t>
    </r>
  </si>
  <si>
    <t>NON-TAXABLE  ALLOWANCES</t>
  </si>
  <si>
    <t>YOUR TAX
AT A GLANCE
  ↓↓↓↓</t>
  </si>
  <si>
    <t>INCOME FROM SALARY + OTHERS</t>
  </si>
  <si>
    <t>IF CHANGED
SELECT
MONTH</t>
  </si>
  <si>
    <r>
      <rPr>
        <b/>
        <sz val="11"/>
        <color theme="1"/>
        <rFont val="Calibri"/>
        <family val="2"/>
        <scheme val="minor"/>
      </rPr>
      <t>AS ON</t>
    </r>
    <r>
      <rPr>
        <b/>
        <sz val="10"/>
        <color theme="1"/>
        <rFont val="Calibri"/>
        <family val="2"/>
        <scheme val="minor"/>
      </rPr>
      <t xml:space="preserve">
MARCH
</t>
    </r>
    <r>
      <rPr>
        <b/>
        <sz val="12"/>
        <color theme="1"/>
        <rFont val="Calibri"/>
        <family val="2"/>
        <scheme val="minor"/>
      </rPr>
      <t>2018</t>
    </r>
  </si>
  <si>
    <t>Deductions For Disabled       U/s 80(U)</t>
  </si>
  <si>
    <t>Medical Insurance Premiums     80(D)</t>
  </si>
  <si>
    <t>Donations of Charitable Trust     80(G)</t>
  </si>
  <si>
    <t>Half Pay Leave 01</t>
  </si>
  <si>
    <t>Half Pay Leave 02</t>
  </si>
  <si>
    <t>Not Available</t>
  </si>
  <si>
    <t>HPL DAYS</t>
  </si>
  <si>
    <t>DAYS 01</t>
  </si>
  <si>
    <t>DAYS 02</t>
  </si>
  <si>
    <t>DAYS 03</t>
  </si>
  <si>
    <t>DAYS 04</t>
  </si>
  <si>
    <t>DAYS 05</t>
  </si>
  <si>
    <t>DAYS 06</t>
  </si>
  <si>
    <t>DAYS 07</t>
  </si>
  <si>
    <t>DAYS 08</t>
  </si>
  <si>
    <t>DAYS 09</t>
  </si>
  <si>
    <t>DAYS 10</t>
  </si>
  <si>
    <t>DAYS 11</t>
  </si>
  <si>
    <t>DAYS 12</t>
  </si>
  <si>
    <t>DAYS 13</t>
  </si>
  <si>
    <t>DAYS 14</t>
  </si>
  <si>
    <t>DAYS 15</t>
  </si>
  <si>
    <t>DAYS 16</t>
  </si>
  <si>
    <t>DAYS 17</t>
  </si>
  <si>
    <t>DAYS 18</t>
  </si>
  <si>
    <t>DAYS 19</t>
  </si>
  <si>
    <t>DAYS 20</t>
  </si>
  <si>
    <t>DAYS 21</t>
  </si>
  <si>
    <t>DAYS 22</t>
  </si>
  <si>
    <t>DAYS 23</t>
  </si>
  <si>
    <t>DAYS 24</t>
  </si>
  <si>
    <t>DAYS 25</t>
  </si>
  <si>
    <t>DAYS 26</t>
  </si>
  <si>
    <t>DAYS 27</t>
  </si>
  <si>
    <t>DAYS 28</t>
  </si>
  <si>
    <t>DAYS 29</t>
  </si>
  <si>
    <t>DAYS 30</t>
  </si>
  <si>
    <t>DAYS 31</t>
  </si>
  <si>
    <t>BASICPAY
AFTER
HPL</t>
  </si>
  <si>
    <t>No.of
Days</t>
  </si>
  <si>
    <t>Worked
Days</t>
  </si>
  <si>
    <t>Sal Calculation</t>
  </si>
  <si>
    <t>D.A.1</t>
  </si>
  <si>
    <t>D.A.2</t>
  </si>
  <si>
    <t>Other
Allow's</t>
  </si>
  <si>
    <t>PRC Arrs</t>
  </si>
  <si>
    <t>OTHER
INCOME</t>
  </si>
  <si>
    <t>LOANS</t>
  </si>
  <si>
    <r>
      <rPr>
        <b/>
        <sz val="14"/>
        <color theme="1"/>
        <rFont val="Berlin Sans FB Demi"/>
        <family val="2"/>
      </rPr>
      <t>OTHER</t>
    </r>
    <r>
      <rPr>
        <b/>
        <sz val="9"/>
        <color theme="1"/>
        <rFont val="Berlin Sans FB Demi"/>
        <family val="2"/>
      </rPr>
      <t xml:space="preserve">
EXEMPTIONS</t>
    </r>
  </si>
  <si>
    <t>DA PERCENT</t>
  </si>
  <si>
    <t>FORM No. 16</t>
  </si>
  <si>
    <t>[ vide rule31(1)(a) of I.T. RULES 1962 ]</t>
  </si>
  <si>
    <t>certificate under section 203 of the Income_tax Act , 1961.</t>
  </si>
  <si>
    <t>for Tax deducted at source from income chargeable under the head "salaries"</t>
  </si>
  <si>
    <t>NAME AND ADDRESS OF THE EMPLOYER</t>
  </si>
  <si>
    <t>NAME AND DESIGNATION OF THE EMPLOYEE</t>
  </si>
  <si>
    <t>Acknowledgement Nos.of all quarterly statements of TDS under sub-section 200 as provided by TIN facilitation center or NSDL web-site</t>
  </si>
  <si>
    <t xml:space="preserve">    Quarter - No.</t>
  </si>
  <si>
    <t>Acknowledge. No</t>
  </si>
  <si>
    <t>Amount</t>
  </si>
  <si>
    <t>Period</t>
  </si>
  <si>
    <t>Assessment
year</t>
  </si>
  <si>
    <t>Quarter - 1</t>
  </si>
  <si>
    <t>FROM</t>
  </si>
  <si>
    <t>To</t>
  </si>
  <si>
    <t>Quarter - 2</t>
  </si>
  <si>
    <t>Quarter - 3</t>
  </si>
  <si>
    <t>Quarter - 4</t>
  </si>
  <si>
    <t>DETAILS OF SALARY PAID AND ANY OTHER INCOME AND TAX DEDUCTED</t>
  </si>
  <si>
    <t xml:space="preserve">GROSS  SALARY </t>
  </si>
  <si>
    <t>Salary as per provisions cotained in section 17 (1)</t>
  </si>
  <si>
    <t>Value of percuisites under section 17(2)</t>
  </si>
  <si>
    <t>(As Per Form No. 12BA, Wherever applicable)</t>
  </si>
  <si>
    <t>Profits in lieu of salary under section 17(3)</t>
  </si>
  <si>
    <t>(as per Form No. 12BA, Wherver applicable)</t>
  </si>
  <si>
    <t xml:space="preserve">TOTAL </t>
  </si>
  <si>
    <t>LESS :  Allowance to the extent exempted U/s 10</t>
  </si>
  <si>
    <t>HOUSE RENT     ALLOWANCE U/s. 10(13)(A)</t>
  </si>
  <si>
    <t xml:space="preserve"> CONVEYANCE ALLOWANCE U/s. 10(14)(i)</t>
  </si>
  <si>
    <t xml:space="preserve">BALANCE </t>
  </si>
  <si>
    <t xml:space="preserve">DEDUCTIONS </t>
  </si>
  <si>
    <t xml:space="preserve">ENTERTAINMENT ALLOWANCE </t>
  </si>
  <si>
    <t xml:space="preserve">TAX ON EMPLOYMENT </t>
  </si>
  <si>
    <t>Aggreate of 4 (a)&amp;(b)</t>
  </si>
  <si>
    <t>4(a)+4(b)</t>
  </si>
  <si>
    <t>INCOME UNDER THE HEAD SALARIES</t>
  </si>
  <si>
    <t>(3-5)</t>
  </si>
  <si>
    <t>Any other income reported by the employee</t>
  </si>
  <si>
    <t>(6+7)</t>
  </si>
  <si>
    <t>Deductions   Under    Chapter VI A</t>
  </si>
  <si>
    <t>A)</t>
  </si>
  <si>
    <t>Under Sections 80C,80CCC,80CCD,80CCF</t>
  </si>
  <si>
    <t>Gross Amount</t>
  </si>
  <si>
    <t>Qualify Amount</t>
  </si>
  <si>
    <t>80C</t>
  </si>
  <si>
    <t>80CC</t>
  </si>
  <si>
    <t>80CCF</t>
  </si>
  <si>
    <t>TOTAL ( Max.Limit : Rs.1,50,000 )</t>
  </si>
  <si>
    <t>80CCD(1B)</t>
  </si>
  <si>
    <t>B)</t>
  </si>
  <si>
    <t>Other Sections Under Chapter VI A</t>
  </si>
  <si>
    <t>80G</t>
  </si>
  <si>
    <t>80E</t>
  </si>
  <si>
    <t>80U</t>
  </si>
  <si>
    <t>24B</t>
  </si>
  <si>
    <t>80D</t>
  </si>
  <si>
    <t xml:space="preserve">Aggregate of Deductible Amount Under Chapter VIA(A+B) </t>
  </si>
  <si>
    <r>
      <t xml:space="preserve">TOTAL INCOME </t>
    </r>
    <r>
      <rPr>
        <b/>
        <sz val="8"/>
        <color indexed="8"/>
        <rFont val="Calibri"/>
        <family val="2"/>
        <scheme val="minor"/>
      </rPr>
      <t xml:space="preserve">( Rounded to multiple of Rs. 10 ) </t>
    </r>
  </si>
  <si>
    <t>TaxRebate u/s 87A</t>
  </si>
  <si>
    <t>(a)</t>
  </si>
  <si>
    <t>(b)</t>
  </si>
  <si>
    <t>Tax paid by the employer on behalf of the employee u/s 192(1A) on perquisited u/s 17(2)</t>
  </si>
  <si>
    <t>DETAILS OF TAX DEDUCTED AND DEPOSITED INTO CENTRAL GOVERNMENT ACCOUNT</t>
  </si>
  <si>
    <t>S.No.</t>
  </si>
  <si>
    <t>TDS
( in Rs. )</t>
  </si>
  <si>
    <t>Surcharge
( in Rs. )</t>
  </si>
  <si>
    <t>Education
Cess ( Rs. )</t>
  </si>
  <si>
    <t>Total Tax
Deposited</t>
  </si>
  <si>
    <t>BSR Code of
Bank Branch</t>
  </si>
  <si>
    <t>Date on which
tax Deposited</t>
  </si>
  <si>
    <t>PLACE :</t>
  </si>
  <si>
    <t>Signature of the person responsible for deduction of tax</t>
  </si>
  <si>
    <t>DATE   :</t>
  </si>
  <si>
    <t>FULL NAME   :</t>
  </si>
  <si>
    <t>DESIGNATION :</t>
  </si>
  <si>
    <t>VILLAGE :</t>
  </si>
  <si>
    <t>MANDAL :</t>
  </si>
  <si>
    <t>DISTRICT :</t>
  </si>
  <si>
    <t>Aggregate amount deductable under section 80C shall not exceed 1.5 lakh rupees.</t>
  </si>
  <si>
    <t>Aggregate amount deductable under section 80C , 80CCC , 80CCD shall not exceed 2 lakh rupees.</t>
  </si>
  <si>
    <t>LESS :  Standard Deduction for Salaried &amp; Pensioner</t>
  </si>
  <si>
    <t xml:space="preserve">80CCG       </t>
  </si>
  <si>
    <t>(15-16)</t>
  </si>
  <si>
    <t>TOTAL TAX  AFTER TAX REBATE</t>
  </si>
  <si>
    <t>FORM NO.12BB</t>
  </si>
  <si>
    <t>(See rule 26C)</t>
  </si>
  <si>
    <t>Statement showing particulars of claims by an employee for deduction of tax under section 192</t>
  </si>
  <si>
    <t>Details of claims and evidence thereof  .........................</t>
  </si>
  <si>
    <t>Nature of claim</t>
  </si>
  <si>
    <t>Amount (Rs.)</t>
  </si>
  <si>
    <t>Evidence / particulars</t>
  </si>
  <si>
    <t>(1)</t>
  </si>
  <si>
    <t>(2)</t>
  </si>
  <si>
    <t>(3)</t>
  </si>
  <si>
    <t>(4)</t>
  </si>
  <si>
    <t>House Rent Allowance:</t>
  </si>
  <si>
    <t>(iv) Permanent Account Number of the landlord</t>
  </si>
  <si>
    <t>Leave travel concessions or assistance</t>
  </si>
  <si>
    <t>Deduction of interest on borrowing:</t>
  </si>
  <si>
    <t>(i) Interest payable/paid to the lender</t>
  </si>
  <si>
    <t>(ii) Name of the lender</t>
  </si>
  <si>
    <t>(iii) Address of the lender</t>
  </si>
  <si>
    <t>(iv) Permanent Account Number of the lender</t>
  </si>
  <si>
    <t xml:space="preserve">(a)   Financial Institutions(if available)  </t>
  </si>
  <si>
    <t>(b)   Employer(if available)</t>
  </si>
  <si>
    <t>(c)    Others</t>
  </si>
  <si>
    <t>Deduction under Chapter VI-A</t>
  </si>
  <si>
    <t>(A)</t>
  </si>
  <si>
    <t>Section 80C,80CCC and 80CCD</t>
  </si>
  <si>
    <t xml:space="preserve">   (i) Section 80C</t>
  </si>
  <si>
    <t xml:space="preserve">(c) </t>
  </si>
  <si>
    <t>(d)</t>
  </si>
  <si>
    <t>(e)</t>
  </si>
  <si>
    <t>(f)</t>
  </si>
  <si>
    <t>(g)</t>
  </si>
  <si>
    <t>(h)</t>
  </si>
  <si>
    <t>(i)</t>
  </si>
  <si>
    <t>(j)</t>
  </si>
  <si>
    <t>(k)</t>
  </si>
  <si>
    <t>80CCC</t>
  </si>
  <si>
    <t>(l)</t>
  </si>
  <si>
    <t>80CCD</t>
  </si>
  <si>
    <t>(B)</t>
  </si>
  <si>
    <t>Other sections  under Chapter VI-A.
      (e.g. 80E, 80G, 80TTA, etc.)</t>
  </si>
  <si>
    <t>(II)</t>
  </si>
  <si>
    <t>(iii)</t>
  </si>
  <si>
    <t>(iv)</t>
  </si>
  <si>
    <t>(v)</t>
  </si>
  <si>
    <t>(vi)</t>
  </si>
  <si>
    <t>(vii)</t>
  </si>
  <si>
    <t>80CCD (1B)</t>
  </si>
  <si>
    <t>Verification</t>
  </si>
  <si>
    <t xml:space="preserve">PLACE : </t>
  </si>
  <si>
    <t xml:space="preserve">DATE  : </t>
  </si>
  <si>
    <t>(Signature of the employee)</t>
  </si>
  <si>
    <t>Design :</t>
  </si>
  <si>
    <t>(m)</t>
  </si>
  <si>
    <t>(viii)</t>
  </si>
  <si>
    <t>80CCG</t>
  </si>
  <si>
    <t>(ix)</t>
  </si>
  <si>
    <t>(x)</t>
  </si>
  <si>
    <t>D.A.% Changed as per G.O.s @ Apr &amp; Oct 2018</t>
  </si>
  <si>
    <t>EMPLOYEE PAN</t>
  </si>
  <si>
    <t>HRA Arrs</t>
  </si>
  <si>
    <t>● H.R.A. ARREARS ●</t>
  </si>
  <si>
    <t>EMP.CFMS ID</t>
  </si>
  <si>
    <t>EMP.TR.ID.</t>
  </si>
  <si>
    <t>●</t>
  </si>
  <si>
    <t>↑↑↑</t>
  </si>
  <si>
    <t>←  ←  ←  ←  ←</t>
  </si>
  <si>
    <t>EMPLOYEE CFMS ID</t>
  </si>
  <si>
    <r>
      <rPr>
        <b/>
        <sz val="10"/>
        <rFont val="Calibri"/>
        <family val="2"/>
        <scheme val="minor"/>
      </rPr>
      <t>CMRF</t>
    </r>
    <r>
      <rPr>
        <b/>
        <sz val="8"/>
        <rFont val="Calibri"/>
        <family val="2"/>
        <scheme val="minor"/>
      </rPr>
      <t xml:space="preserve"> KERALA</t>
    </r>
  </si>
  <si>
    <t>CMRF (A.P.)</t>
  </si>
  <si>
    <t>Gen.Mnths</t>
  </si>
  <si>
    <t>DAYS OLD BP</t>
  </si>
  <si>
    <t>DAYS NEW BP</t>
  </si>
  <si>
    <t>SELECT AAS APPLIED MONTH</t>
  </si>
  <si>
    <t>SELECT AAS APPLIED DATE</t>
  </si>
  <si>
    <t>A.A.S</t>
  </si>
  <si>
    <t>SURRENDER LEAVE MONTH</t>
  </si>
  <si>
    <t>No. OF SURRENDER LEAVES</t>
  </si>
  <si>
    <t>E.L.s</t>
  </si>
  <si>
    <t>BASICPAY as on  2018-JANUARY</t>
  </si>
  <si>
    <t>SELECT INCREMENT MONTH</t>
  </si>
  <si>
    <t>(CHITTOR Dt.)</t>
  </si>
  <si>
    <t>EL's D.A. %</t>
  </si>
  <si>
    <t>EL's HRA %</t>
  </si>
  <si>
    <t>HRA ARREARS</t>
  </si>
  <si>
    <t>TAX TO BE PAID NOW VALUE</t>
  </si>
  <si>
    <t>DON’T DELTETE THIS</t>
  </si>
  <si>
    <t>AAS ARREARS Calculation</t>
  </si>
  <si>
    <t>D.A. %</t>
  </si>
  <si>
    <t>Surrender Leave Calculation</t>
  </si>
  <si>
    <t>BASICPAY
AFTER
AGI / AAS</t>
  </si>
  <si>
    <t>MONTH
YEAR</t>
  </si>
  <si>
    <r>
      <rPr>
        <b/>
        <sz val="12"/>
        <color theme="1"/>
        <rFont val="Calibri"/>
        <family val="2"/>
        <scheme val="minor"/>
      </rPr>
      <t>D.A. %</t>
    </r>
    <r>
      <rPr>
        <b/>
        <sz val="9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SELECTIONS</t>
    </r>
  </si>
  <si>
    <r>
      <t xml:space="preserve">ENTER
</t>
    </r>
    <r>
      <rPr>
        <b/>
        <sz val="8"/>
        <color theme="1"/>
        <rFont val="Calibri"/>
        <family val="2"/>
        <scheme val="minor"/>
      </rPr>
      <t>CHANGED</t>
    </r>
    <r>
      <rPr>
        <b/>
        <sz val="9"/>
        <color theme="1"/>
        <rFont val="Calibri"/>
        <family val="2"/>
        <scheme val="minor"/>
      </rPr>
      <t xml:space="preserve">
Rs.  or   %</t>
    </r>
  </si>
  <si>
    <t>BP AFTER
AGI / AAS</t>
  </si>
  <si>
    <t>BASICPAY as on  2017-JANUARY</t>
  </si>
  <si>
    <t>NET</t>
  </si>
  <si>
    <t>DA ARREARS</t>
  </si>
  <si>
    <t>DA 1</t>
  </si>
  <si>
    <t>DA 2</t>
  </si>
  <si>
    <t>CASH</t>
  </si>
  <si>
    <t>FY 2018-19</t>
  </si>
  <si>
    <t>SLAB B @ 10%</t>
  </si>
  <si>
    <t>SLAB C @ 20%</t>
  </si>
  <si>
    <t>SLAB D @ 30%</t>
  </si>
  <si>
    <t>SLAB A @ 00%</t>
  </si>
  <si>
    <t>SLABs TOTAL</t>
  </si>
  <si>
    <t>SLAB B @ 05%</t>
  </si>
  <si>
    <t>WITHOUT ARREARS</t>
  </si>
  <si>
    <t>TAXABLE INCOME</t>
  </si>
  <si>
    <t>WITH ARREARS</t>
  </si>
  <si>
    <t>2016-17</t>
  </si>
  <si>
    <t>2014-15</t>
  </si>
  <si>
    <t>2018-19</t>
  </si>
  <si>
    <t>2017-18</t>
  </si>
  <si>
    <t>TAX DIFFERENCE</t>
  </si>
  <si>
    <t>=</t>
  </si>
  <si>
    <t>LESS : TAX RELIEF under section 89(1)</t>
  </si>
  <si>
    <t>LESS: Relief under section 89(1) (attach details)</t>
  </si>
  <si>
    <t>TAX AFTER REBATE</t>
  </si>
  <si>
    <t>REBATE u/s 87(A)</t>
  </si>
  <si>
    <t>WITHOUT
ARREARS</t>
  </si>
  <si>
    <t>OVERALL TAX RELIEF u/s 89(1)</t>
  </si>
  <si>
    <t>TAXABLE
INCOME</t>
  </si>
  <si>
    <t>FINANCIAL
YEAR</t>
  </si>
  <si>
    <t>ARREARS
DA / PRC</t>
  </si>
  <si>
    <r>
      <t xml:space="preserve">TAX DIFFERENCE CALCULATION FOR TAX RELIEF u/s </t>
    </r>
    <r>
      <rPr>
        <b/>
        <sz val="13"/>
        <color rgb="FF0053FA"/>
        <rFont val="Calibri Light"/>
        <family val="2"/>
        <scheme val="major"/>
      </rPr>
      <t>89(1)</t>
    </r>
  </si>
  <si>
    <t>Mar.17-Feb.18 : DA</t>
  </si>
  <si>
    <t>DA1 + DA2 + PRC</t>
  </si>
  <si>
    <t>Jan.17-Feb.17 : DA</t>
  </si>
  <si>
    <t>PRC 2015 ARREARS</t>
  </si>
  <si>
    <t>Ur TAX =</t>
  </si>
  <si>
    <t>After Rbt  =</t>
  </si>
  <si>
    <t>After Adv. =</t>
  </si>
  <si>
    <t>After Relf. =</t>
  </si>
  <si>
    <t>Half Pay Leave 01 (2017)</t>
  </si>
  <si>
    <t>Half Pay Leave 02 (2017)</t>
  </si>
  <si>
    <t xml:space="preserve">YOU WILL GET TAX RELIEF = </t>
  </si>
  <si>
    <t>FOR YOUR REFERENCE PURPOSE</t>
  </si>
  <si>
    <t>FIN.YEAR WISE ARREARS DETAILS</t>
  </si>
  <si>
    <t>SELECT AAS APPLIED MONTH ( 2017 )</t>
  </si>
  <si>
    <t>SURRENDER LEAVE MONTH    ( 2017 )</t>
  </si>
  <si>
    <t>2014-15 Arrears = JUNE_2014 to Mar_2015</t>
  </si>
  <si>
    <t>2018-19 Arrears = DA1 + DA2 + PRC Arrears</t>
  </si>
  <si>
    <t>2016-17 Arrears =   JAN_2017 to FEB _2017</t>
  </si>
  <si>
    <t>2017-18 Arrears = MAR_2017 to FEB _2018</t>
  </si>
  <si>
    <t>24.104%
GROSS</t>
  </si>
  <si>
    <t>22.008%
GROSS</t>
  </si>
  <si>
    <t>DA1
GROSS</t>
  </si>
  <si>
    <t>DA1
CPS</t>
  </si>
  <si>
    <t>DA1
NET</t>
  </si>
  <si>
    <t>25.676%
GROSS</t>
  </si>
  <si>
    <t>DA2
GROSS</t>
  </si>
  <si>
    <t>DA2
CPS</t>
  </si>
  <si>
    <t>DA2
NET</t>
  </si>
  <si>
    <t>DA 1 =</t>
  </si>
  <si>
    <t>DA 2 =</t>
  </si>
  <si>
    <t>D.A. 
ARREARS
FOR CPS
HOLDERS</t>
  </si>
  <si>
    <r>
      <rPr>
        <b/>
        <sz val="13"/>
        <color rgb="FF0053FA"/>
        <rFont val="Berlin Sans FB Demi"/>
        <family val="2"/>
      </rPr>
      <t>Government thankfully understands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entury Gothic"/>
        <family val="2"/>
      </rPr>
      <t xml:space="preserve">the situation and has provided relief for tax payers under </t>
    </r>
    <r>
      <rPr>
        <b/>
        <sz val="12"/>
        <color rgb="FFFF0000"/>
        <rFont val="Century Gothic"/>
        <family val="2"/>
      </rPr>
      <t>Section 89(1)</t>
    </r>
  </si>
  <si>
    <t>FORM NO.10E</t>
  </si>
  <si>
    <t>[ See rule 21AA ]</t>
  </si>
  <si>
    <t>Name and address of the Employee</t>
  </si>
  <si>
    <t>Permanent Account Number</t>
  </si>
  <si>
    <t>Residential status</t>
  </si>
  <si>
    <t>Particulars of income referred to in rule 21A of the Income Tax rules, 1962,
during the previous year relevent to Assessment year 2018-2019.</t>
  </si>
  <si>
    <t>a.</t>
  </si>
  <si>
    <t>Salary received in arrears or in advance in accordance with the provisions of sub-rule (2) of rule 21A</t>
  </si>
  <si>
    <t>Rs.</t>
  </si>
  <si>
    <t>b.</t>
  </si>
  <si>
    <t>Pament in the nature of gratuity in respect of past services, extending over a period of not less than 5 years in accordance with the provisions of sub-rule (3) of rule 21A</t>
  </si>
  <si>
    <t>c.</t>
  </si>
  <si>
    <t>Payment in the nature of compensation from the employer or former employer at or in connection with termination of employment after continuous service of not less than 3 years or where the unexpired portion of term of employment is also not less than 3 years in accordancewith the provisions of sub rule (4) of the 21A</t>
  </si>
  <si>
    <t>d.</t>
  </si>
  <si>
    <t>Payment in commutation of pension in accordance with the provisions of sub-rule (5) of rule 21A</t>
  </si>
  <si>
    <t>Detailed particulars of payments refered to above may be given in Annexure-I, II, IIA, III, or IV, as the case may be</t>
  </si>
  <si>
    <t>Annexure-I</t>
  </si>
  <si>
    <t>Signature of the employee</t>
  </si>
  <si>
    <t>Verified today,</t>
  </si>
  <si>
    <t>(See item 2 of Form No. 10E)</t>
  </si>
  <si>
    <t>ARREARS OR ADVANCE SALARY</t>
  </si>
  <si>
    <t>Salary received in arrears or advance</t>
  </si>
  <si>
    <t>Total income (as increased by salary received in arrears or advance)</t>
  </si>
  <si>
    <t>Tax on total income (as per item 3)</t>
  </si>
  <si>
    <t>Tax on total income (as per item 1)</t>
  </si>
  <si>
    <t>Tax on salary received in arrears or advance</t>
  </si>
  <si>
    <t>(Difference of item 4 and item 5)</t>
  </si>
  <si>
    <t>Tax computed in accordance with table "A"</t>
  </si>
  <si>
    <t>(Brought from column 7 of Table "A")</t>
  </si>
  <si>
    <t>Relief under section 89(1)</t>
  </si>
  <si>
    <t>TABLE "A"</t>
  </si>
  <si>
    <t>{See item 7 of Annexure I}</t>
  </si>
  <si>
    <t>Total income of the relevent previous year (Rs.)</t>
  </si>
  <si>
    <t>Salary received in arrears or advance relating to the previous year as mentioned in column(1) (Rs)</t>
  </si>
  <si>
    <t>Total income
(as increased
by salary received
in arrears or advance
of the relevent
previous year mentioned
in column 1 (Rs.)</t>
  </si>
  <si>
    <t>2014-2015</t>
  </si>
  <si>
    <t>2015-2016</t>
  </si>
  <si>
    <t>2016-2017</t>
  </si>
  <si>
    <t>2017-2018</t>
  </si>
  <si>
    <t>Total income (excluding salary received in arrears or advance)</t>
  </si>
  <si>
    <t>Tax on total income
{as per column (4)} (Rs.)</t>
  </si>
  <si>
    <t>Tax on total income
{as per column (2)} (Rs.)</t>
  </si>
  <si>
    <t>Previous Year(s)
Financial Years</t>
  </si>
  <si>
    <t>Difference in tax
{amount under column (6)
minus
 amount under column (5)}
(Rs.)</t>
  </si>
  <si>
    <t>PERMANENT RESIDENT</t>
  </si>
  <si>
    <t>Father/Mother</t>
  </si>
  <si>
    <t>EHF (EHS)</t>
  </si>
  <si>
    <r>
      <t xml:space="preserve">MEDICAL INSURANCE PREMIUM </t>
    </r>
    <r>
      <rPr>
        <b/>
        <sz val="9"/>
        <color theme="1"/>
        <rFont val="Calibri"/>
        <family val="2"/>
        <scheme val="minor"/>
      </rPr>
      <t xml:space="preserve"> (PERSONAL)</t>
    </r>
  </si>
  <si>
    <r>
      <t xml:space="preserve">CONCESSION  </t>
    </r>
    <r>
      <rPr>
        <b/>
        <sz val="12"/>
        <color theme="0"/>
        <rFont val="Calibri"/>
        <family val="2"/>
        <scheme val="minor"/>
      </rPr>
      <t>(PLUS)</t>
    </r>
    <r>
      <rPr>
        <b/>
        <sz val="11"/>
        <color theme="0"/>
        <rFont val="Calibri"/>
        <family val="2"/>
        <scheme val="minor"/>
      </rPr>
      <t xml:space="preserve">  MRB CLAIMS ●</t>
    </r>
  </si>
  <si>
    <t>RECEIPT OF HOUSE RENT</t>
  </si>
  <si>
    <t>(Under Section 1 (13-A) of Income Tax Act)</t>
  </si>
  <si>
    <t>HOUSE ADDRESS :</t>
  </si>
  <si>
    <r>
      <t xml:space="preserve">         </t>
    </r>
    <r>
      <rPr>
        <b/>
        <sz val="14"/>
        <color theme="1"/>
        <rFont val="Calibri"/>
        <family val="2"/>
      </rPr>
      <t>ᴥ</t>
    </r>
  </si>
  <si>
    <t>Signature of the Tenant</t>
  </si>
  <si>
    <t>Signature of the House Owner</t>
  </si>
  <si>
    <t>______________________________________________________________________________</t>
  </si>
  <si>
    <t>RENT PER 12 MONTH</t>
  </si>
  <si>
    <t>RENT PER 01 MONTH</t>
  </si>
  <si>
    <t>STREET NAME</t>
  </si>
  <si>
    <t>TOWN NAME</t>
  </si>
  <si>
    <t>Owner  NAME</t>
  </si>
  <si>
    <t>OWNER's PAN</t>
  </si>
  <si>
    <t xml:space="preserve">DOOR NO.  :   </t>
  </si>
  <si>
    <t>S</t>
  </si>
  <si>
    <t>ü</t>
  </si>
  <si>
    <t xml:space="preserve"> (ii) Name of the landlord             :                                      Sri / Smt.  : </t>
  </si>
  <si>
    <t>DA (Jan_2017)</t>
  </si>
  <si>
    <t>DA (Jul._2017)</t>
  </si>
  <si>
    <t>DA 1 ARREARS : GROSS</t>
  </si>
  <si>
    <r>
      <t xml:space="preserve">DA 2 ARREARS : NET </t>
    </r>
    <r>
      <rPr>
        <b/>
        <sz val="9"/>
        <color theme="1"/>
        <rFont val="Century Gothic"/>
        <family val="2"/>
      </rPr>
      <t>(CASH)</t>
    </r>
  </si>
  <si>
    <r>
      <t xml:space="preserve">DA 1 ARREARS : NET </t>
    </r>
    <r>
      <rPr>
        <b/>
        <sz val="9"/>
        <color theme="1"/>
        <rFont val="Century Gothic"/>
        <family val="2"/>
      </rPr>
      <t>(CASH)</t>
    </r>
  </si>
  <si>
    <t>DA 2 ARREARS : GROSS</t>
  </si>
  <si>
    <t>Jun.14  to Mar.15</t>
  </si>
  <si>
    <r>
      <rPr>
        <b/>
        <sz val="16"/>
        <color theme="1"/>
        <rFont val="Berlin Sans FB Demi"/>
        <family val="2"/>
      </rPr>
      <t>►►►
FOR
D.A.</t>
    </r>
    <r>
      <rPr>
        <b/>
        <sz val="12"/>
        <color theme="1"/>
        <rFont val="Berlin Sans FB Demi"/>
        <family val="2"/>
      </rPr>
      <t xml:space="preserve">
ARREARS</t>
    </r>
  </si>
  <si>
    <t xml:space="preserve"> </t>
  </si>
  <si>
    <t xml:space="preserve">              </t>
  </si>
  <si>
    <t>(The employer is to provide transaction - wise details of tax deducted and deposited)</t>
  </si>
  <si>
    <t>Transfer
voucher/challan
identification No.</t>
  </si>
  <si>
    <t>TOTAL INCOME   (NET TAXABLE INCOME)</t>
  </si>
  <si>
    <t>(On S.No.13)</t>
  </si>
  <si>
    <t>ADD : Health and Education Cess @ 4%</t>
  </si>
  <si>
    <t>TAX PAYABLE AFTER CESS</t>
  </si>
  <si>
    <t>TAX PAYABLE AFTER RELIEF</t>
  </si>
  <si>
    <t>TAX DEDUCTED AT SOURCE u/s 192(1)</t>
  </si>
  <si>
    <t>(13+14)</t>
  </si>
  <si>
    <t>( 8-9 )</t>
  </si>
  <si>
    <t xml:space="preserve">1) </t>
  </si>
  <si>
    <t xml:space="preserve">2) </t>
  </si>
  <si>
    <t>Do U want Relief for PRC Arrears</t>
  </si>
  <si>
    <t>FY 2014-15</t>
  </si>
  <si>
    <t>FY 2016-17</t>
  </si>
  <si>
    <t>FY 2017-18</t>
  </si>
  <si>
    <t>TAX RELIEF</t>
  </si>
  <si>
    <t>IF U WANT TAX RELIEF SELECT YES ↓↓</t>
  </si>
  <si>
    <t>FIN.YEAR WISE TAXABLE INCOME ENTER HERE ↑↑</t>
  </si>
  <si>
    <t>Do U want Relief for DA1 Arrears</t>
  </si>
  <si>
    <t>Do U want Relief for DA2 Arrears</t>
  </si>
  <si>
    <t>GPF_CPS A/C</t>
  </si>
  <si>
    <r>
      <rPr>
        <b/>
        <sz val="18"/>
        <color theme="1"/>
        <rFont val="Century Gothic"/>
        <family val="2"/>
      </rPr>
      <t>INCOME TAX_2019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u/>
        <sz val="12"/>
        <color rgb="FF3605EB"/>
        <rFont val="Calibri"/>
        <family val="2"/>
        <scheme val="minor"/>
      </rPr>
      <t>(FY:2018-19) : (AY:2019-20)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0"/>
        <rFont val="Century Gothic"/>
        <family val="2"/>
      </rPr>
      <t>USE BY  : MS EXCEL MOBILE or PC</t>
    </r>
  </si>
  <si>
    <t>ACTUAL HRA RECEIVED : (HRA + Additional HRA)</t>
  </si>
  <si>
    <t xml:space="preserve">LESS : Total Advance Tax Paid by you </t>
  </si>
  <si>
    <r>
      <t xml:space="preserve">TAX TO BE PAID NOW </t>
    </r>
    <r>
      <rPr>
        <b/>
        <sz val="9"/>
        <color theme="1"/>
        <rFont val="Calibri"/>
        <family val="2"/>
        <scheme val="minor"/>
      </rPr>
      <t>(FOR A.Y. : 2019-2020)</t>
    </r>
  </si>
  <si>
    <t>SUGGESTED</t>
  </si>
  <si>
    <t>PRC B.P.</t>
  </si>
  <si>
    <t>PRC D.A.</t>
  </si>
  <si>
    <t>PRC HRA</t>
  </si>
  <si>
    <t>PRC CCA</t>
  </si>
  <si>
    <t>↓ COMPULSORY ↓</t>
  </si>
  <si>
    <t>NET CASH</t>
  </si>
  <si>
    <t>BPs</t>
  </si>
  <si>
    <t>BP, DA, HRA లను
నమోదు చేస్తే GROSS
CELL ను ఖాళీగా ఉంచండి.</t>
  </si>
  <si>
    <t>DAYS 00</t>
  </si>
  <si>
    <t>SBI MUTUAL FUNDS</t>
  </si>
  <si>
    <t>OTHER MUTUAL FUNDS……………….</t>
  </si>
  <si>
    <t>(18+19)</t>
  </si>
  <si>
    <t>(20-21-22)</t>
  </si>
  <si>
    <t>(5) - (Rs. 40000)</t>
  </si>
  <si>
    <t>Cheque No. 
or  DD No.
( IF ANY )</t>
  </si>
  <si>
    <t>PROMOTION INCREMENT APPLIED MONTH</t>
  </si>
  <si>
    <t>PROMOTION INCREMENT APPLIED DATE</t>
  </si>
  <si>
    <t>PROMOTION INCREMENT OPTION GIVEN TO</t>
  </si>
  <si>
    <r>
      <t xml:space="preserve">HPL
</t>
    </r>
    <r>
      <rPr>
        <b/>
        <sz val="10"/>
        <color theme="1"/>
        <rFont val="Century Gothic"/>
        <family val="2"/>
      </rPr>
      <t>(2018-19)</t>
    </r>
  </si>
  <si>
    <t>PROMOTION ARREARS</t>
  </si>
  <si>
    <t>PRO DATE</t>
  </si>
  <si>
    <t>PRO ARREARS</t>
  </si>
  <si>
    <t>PRO Arrs</t>
  </si>
  <si>
    <t>AGI MONTH</t>
  </si>
  <si>
    <t>AAS MONTH</t>
  </si>
  <si>
    <t>PRO MONTH</t>
  </si>
  <si>
    <t>PRO</t>
  </si>
  <si>
    <t>FINAL 1</t>
  </si>
  <si>
    <t>AGI 2017</t>
  </si>
  <si>
    <t>AAS 2017</t>
  </si>
  <si>
    <t>AAS2017BP</t>
  </si>
  <si>
    <t>Surrender Leave 2017</t>
  </si>
  <si>
    <t xml:space="preserve">AAS ARRS </t>
  </si>
  <si>
    <t>IF U Don't</t>
  </si>
  <si>
    <t>AUTOMATED</t>
  </si>
  <si>
    <t>Know the GREEN values, FILL in the YELLOW ONLY</t>
  </si>
  <si>
    <t>D.A.
ARREARS</t>
  </si>
  <si>
    <t>HPL2018</t>
  </si>
  <si>
    <t>HPL2017</t>
  </si>
  <si>
    <t>AGI BP</t>
  </si>
  <si>
    <t>AAS BP</t>
  </si>
  <si>
    <t>ID</t>
  </si>
  <si>
    <t>PD</t>
  </si>
  <si>
    <t>TOTAL=</t>
  </si>
  <si>
    <t>FINAL BASICPAY</t>
  </si>
  <si>
    <t>PRO TYPE</t>
  </si>
  <si>
    <t xml:space="preserve">PRO ARRS </t>
  </si>
  <si>
    <t>PROMOTION
INCREMTENTS
(2018-19)</t>
  </si>
  <si>
    <r>
      <t xml:space="preserve">Earlier,some people were getting </t>
    </r>
    <r>
      <rPr>
        <b/>
        <sz val="10"/>
        <color rgb="FF3605EB"/>
        <rFont val="Calibri"/>
        <family val="2"/>
        <scheme val="minor"/>
      </rPr>
      <t xml:space="preserve">conveyance allowance </t>
    </r>
    <r>
      <rPr>
        <b/>
        <sz val="10"/>
        <color theme="1"/>
        <rFont val="Calibri"/>
        <family val="2"/>
        <scheme val="minor"/>
      </rPr>
      <t xml:space="preserve">and some medical allowance on the basis of production of bills but now , </t>
    </r>
    <r>
      <rPr>
        <b/>
        <sz val="10"/>
        <color rgb="FF3605EB"/>
        <rFont val="Calibri"/>
        <family val="2"/>
        <scheme val="minor"/>
      </rPr>
      <t>BUDGET 2018</t>
    </r>
    <r>
      <rPr>
        <b/>
        <sz val="10"/>
        <color theme="1"/>
        <rFont val="Calibri"/>
        <family val="2"/>
        <scheme val="minor"/>
      </rPr>
      <t xml:space="preserve"> has removed all individual allowances on production of certain bills among others.</t>
    </r>
  </si>
  <si>
    <t>THIS SOFTWARE DOES NOT HAVE
THE OPTION OF LOSS OF PAY (EOL)</t>
  </si>
  <si>
    <t>IF AAS / PRO arrears  VALUES ARE WRONG ▲▲▲
THEN ENTER YOUR VALUES IN BOXES MANUALLY.</t>
  </si>
  <si>
    <r>
      <rPr>
        <b/>
        <sz val="14"/>
        <color rgb="FF0053FA"/>
        <rFont val="Century Gothic"/>
        <family val="2"/>
      </rPr>
      <t>A standard deduction of Rs 40,000</t>
    </r>
    <r>
      <rPr>
        <b/>
        <sz val="10"/>
        <rFont val="Berlin Sans FB Demi"/>
        <family val="2"/>
      </rPr>
      <t xml:space="preserve">
</t>
    </r>
    <r>
      <rPr>
        <b/>
        <sz val="10"/>
        <rFont val="Calibri"/>
        <family val="2"/>
        <scheme val="minor"/>
      </rPr>
      <t xml:space="preserve">has been introduced for all salaried individuals for
transportation or medical reimbursement purposes.
</t>
    </r>
    <r>
      <rPr>
        <b/>
        <sz val="10"/>
        <color rgb="FF0053FA"/>
        <rFont val="Century Gothic"/>
        <family val="2"/>
      </rPr>
      <t>(need not have to furnish any bills or documents)</t>
    </r>
  </si>
  <si>
    <t>ramanjaneyulu PERUMAL</t>
  </si>
  <si>
    <t>S.G.Teacher.:  ALUR(M)  : KURNOOL(Dt.)</t>
  </si>
  <si>
    <t>Whatsapp : 99 63 53 53 0 4</t>
  </si>
  <si>
    <r>
      <rPr>
        <b/>
        <sz val="12"/>
        <color rgb="FF0053FA"/>
        <rFont val="Berlin Sans FB Demi"/>
        <family val="2"/>
      </rPr>
      <t xml:space="preserve">( "Health and Education Cess" )
</t>
    </r>
    <r>
      <rPr>
        <b/>
        <sz val="1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The 3% Cess from the previous year 
as been replaced with a 4% .</t>
    </r>
  </si>
  <si>
    <t>Thank You……</t>
  </si>
  <si>
    <r>
      <t xml:space="preserve">The hardest thing in the world to understand
is the income tax.  </t>
    </r>
    <r>
      <rPr>
        <b/>
        <sz val="11"/>
        <color theme="0"/>
        <rFont val="Berlin Sans FB Demi"/>
        <family val="2"/>
      </rPr>
      <t xml:space="preserve"> - Albert Einstein.</t>
    </r>
  </si>
  <si>
    <t>CESS @ 4%</t>
  </si>
  <si>
    <t>CESS @ 3%</t>
  </si>
  <si>
    <t>TAX PAYABLE / TAX REFUNDABLE</t>
  </si>
  <si>
    <t xml:space="preserve">DA 1 </t>
  </si>
  <si>
    <t xml:space="preserve">SELECT DA1 UPTO? </t>
  </si>
  <si>
    <t xml:space="preserve">SELECT DA2 UPTO? </t>
  </si>
  <si>
    <t>ARREARS</t>
  </si>
  <si>
    <t>MANUAL</t>
  </si>
  <si>
    <t>SYSTEM</t>
  </si>
  <si>
    <t>▼ENTRIES▼</t>
  </si>
  <si>
    <t>▼VALUES▼</t>
  </si>
  <si>
    <r>
      <t xml:space="preserve"> will wrong , U should </t>
    </r>
    <r>
      <rPr>
        <b/>
        <sz val="10"/>
        <color theme="1"/>
        <rFont val="Calibri"/>
        <family val="2"/>
      </rPr>
      <t>↓SELECT MANUAL↓</t>
    </r>
    <r>
      <rPr>
        <b/>
        <sz val="9"/>
        <color theme="1"/>
        <rFont val="Calibri"/>
        <family val="2"/>
      </rPr>
      <t xml:space="preserve"> then enter Ur </t>
    </r>
    <r>
      <rPr>
        <b/>
        <sz val="10"/>
        <color theme="1"/>
        <rFont val="Calibri"/>
        <family val="2"/>
      </rPr>
      <t>↓VALUES↓</t>
    </r>
  </si>
  <si>
    <t>IF DA ARREARS</t>
  </si>
  <si>
    <t>MAR_2018 &amp;
SEPT_2018 to
GPF A/Cs</t>
  </si>
  <si>
    <r>
      <rPr>
        <b/>
        <sz val="11"/>
        <color theme="0"/>
        <rFont val="Calibri"/>
        <family val="2"/>
        <scheme val="minor"/>
      </rPr>
      <t>UPDATED ON</t>
    </r>
    <r>
      <rPr>
        <b/>
        <sz val="13.5"/>
        <color theme="0"/>
        <rFont val="Calibri"/>
        <family val="2"/>
        <scheme val="minor"/>
      </rPr>
      <t xml:space="preserve">
12.01.2019</t>
    </r>
  </si>
  <si>
    <t>DORNALA</t>
  </si>
  <si>
    <t>PRAKASAM</t>
  </si>
  <si>
    <t>B.MASTAN NAIK</t>
  </si>
  <si>
    <t>4-69F</t>
  </si>
  <si>
    <t>INDIRA NAGAR</t>
  </si>
  <si>
    <t>MEO</t>
  </si>
  <si>
    <t>D.PEERAMBEE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</si>
</sst>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 &quot;Rs.&quot;\ * #,##0_ ;_ &quot;Rs.&quot;\ * \-#,##0_ ;_ &quot;Rs.&quot;\ * &quot;-&quot;_ ;_ @_ "/>
    <numFmt numFmtId="43" formatCode="_ * #,##0.00_ ;_ * \-#,##0.00_ ;_ * &quot;-&quot;??_ ;_ @_ "/>
    <numFmt numFmtId="164" formatCode="[$-409]mmm/yy;@"/>
    <numFmt numFmtId="165" formatCode="[$-409]mmmm\-yy;@"/>
    <numFmt numFmtId="166" formatCode="[$-409]d\-mmm\-yy;@"/>
    <numFmt numFmtId="167" formatCode="mmm\-yyyy"/>
    <numFmt numFmtId="168" formatCode="00"/>
    <numFmt numFmtId="169" formatCode="0.000%"/>
    <numFmt numFmtId="170" formatCode="00.00%"/>
    <numFmt numFmtId="171" formatCode="_-[$Rs.-849]\ * #,##0_-;\-[$Rs.-849]\ * #,##0_-;_-[$Rs.-849]\ * &quot;-&quot;_-;_-@_-"/>
    <numFmt numFmtId="172" formatCode="_-[$Rs.-849]\ * #,##0_-;\-[$Rs.-849]\ * #,##0_-;_-[$Rs.-849]\ * &quot;-&quot;??_-;_-@_-"/>
    <numFmt numFmtId="173" formatCode="0.0"/>
    <numFmt numFmtId="174" formatCode="000000"/>
    <numFmt numFmtId="175" formatCode="mmm/yyyy"/>
    <numFmt numFmtId="176" formatCode="_(* #,##0_);_(* \(#,##0\);_(* &quot;-&quot;_);_(@_)"/>
    <numFmt numFmtId="177" formatCode="[$-14009]dd\ mmmm\ yyyy;@"/>
    <numFmt numFmtId="178" formatCode="00%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_-* #,##0_-;\-* #,##0_-;_-* &quot;-&quot;??_-;_-@_-"/>
    <numFmt numFmtId="182" formatCode="[$-14009]d\ mmmm\ yyyy;@"/>
    <numFmt numFmtId="183" formatCode="#,##0;[Red]#,##0"/>
    <numFmt numFmtId="184" formatCode="dd/mmm/yyyy"/>
    <numFmt numFmtId="185" formatCode="[$-409]d/mmm/yyyy;@"/>
  </numFmts>
  <fonts count="189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  <charset val="1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2"/>
      <color theme="1"/>
      <name val="Century Gothic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rgb="FF0070C0"/>
      <name val="Gautam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1"/>
    </font>
    <font>
      <sz val="12"/>
      <color theme="1"/>
      <name val="Arial"/>
      <family val="2"/>
      <charset val="1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charset val="1"/>
    </font>
    <font>
      <sz val="10"/>
      <color theme="1"/>
      <name val="Arial"/>
      <family val="2"/>
      <charset val="1"/>
    </font>
    <font>
      <b/>
      <sz val="10"/>
      <color theme="1"/>
      <name val="Calibri Light"/>
      <family val="2"/>
      <scheme val="major"/>
    </font>
    <font>
      <b/>
      <sz val="11"/>
      <color theme="1"/>
      <name val="Calibri"/>
      <family val="2"/>
      <charset val="1"/>
    </font>
    <font>
      <b/>
      <sz val="10"/>
      <name val="Calibri"/>
      <family val="2"/>
      <scheme val="minor"/>
    </font>
    <font>
      <b/>
      <sz val="10"/>
      <color theme="1"/>
      <name val="Calibri"/>
      <family val="2"/>
      <charset val="1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Berlin Sans FB Demi"/>
      <family val="2"/>
    </font>
    <font>
      <sz val="11"/>
      <color theme="1"/>
      <name val="Book Antiqua"/>
      <family val="1"/>
    </font>
    <font>
      <b/>
      <sz val="9"/>
      <color theme="1"/>
      <name val="Book Antiqua"/>
      <family val="1"/>
    </font>
    <font>
      <b/>
      <sz val="12"/>
      <color theme="1"/>
      <name val="Book Antiqua"/>
      <family val="1"/>
    </font>
    <font>
      <b/>
      <sz val="10"/>
      <color theme="1"/>
      <name val="Book Antiqua"/>
      <family val="1"/>
    </font>
    <font>
      <b/>
      <sz val="11"/>
      <color theme="1"/>
      <name val="Book Antiqua"/>
      <family val="1"/>
    </font>
    <font>
      <b/>
      <sz val="8"/>
      <color theme="1"/>
      <name val="Century Gothic"/>
      <family val="2"/>
    </font>
    <font>
      <b/>
      <sz val="11.5"/>
      <color theme="1"/>
      <name val="Century Gothic"/>
      <family val="2"/>
    </font>
    <font>
      <b/>
      <sz val="10.5"/>
      <color theme="1"/>
      <name val="Century Gothic"/>
      <family val="2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Book Antiqua"/>
      <family val="1"/>
    </font>
    <font>
      <b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8.5"/>
      <color theme="1"/>
      <name val="Calibri"/>
      <family val="2"/>
      <scheme val="minor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b/>
      <sz val="10"/>
      <color theme="0"/>
      <name val="Calibri"/>
      <family val="2"/>
      <scheme val="minor"/>
    </font>
    <font>
      <b/>
      <sz val="10"/>
      <color theme="0"/>
      <name val="Gautami"/>
      <family val="2"/>
    </font>
    <font>
      <b/>
      <sz val="16"/>
      <color rgb="FF0053FA"/>
      <name val="Calibri"/>
      <family val="2"/>
    </font>
    <font>
      <b/>
      <sz val="14"/>
      <color rgb="FF0053FA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 Light"/>
      <family val="2"/>
      <scheme val="major"/>
    </font>
    <font>
      <b/>
      <sz val="9"/>
      <name val="Calibri"/>
      <family val="2"/>
      <scheme val="minor"/>
    </font>
    <font>
      <b/>
      <sz val="11"/>
      <color rgb="FF0053FA"/>
      <name val="Calibri"/>
      <family val="2"/>
    </font>
    <font>
      <b/>
      <sz val="13"/>
      <color rgb="FF0053FA"/>
      <name val="Calibri"/>
      <family val="2"/>
    </font>
    <font>
      <b/>
      <sz val="8"/>
      <name val="Calibri"/>
      <family val="2"/>
      <scheme val="minor"/>
    </font>
    <font>
      <b/>
      <sz val="12"/>
      <color rgb="FFFCA08E"/>
      <name val="Calibri Light"/>
      <family val="2"/>
      <scheme val="major"/>
    </font>
    <font>
      <b/>
      <sz val="10"/>
      <color rgb="FF0053FA"/>
      <name val="Calibri"/>
      <family val="2"/>
      <scheme val="minor"/>
    </font>
    <font>
      <b/>
      <sz val="10"/>
      <name val="Calibri Light"/>
      <family val="2"/>
      <scheme val="major"/>
    </font>
    <font>
      <b/>
      <sz val="12"/>
      <color theme="0"/>
      <name val="Calibri"/>
      <family val="2"/>
      <scheme val="minor"/>
    </font>
    <font>
      <b/>
      <sz val="10"/>
      <color theme="0"/>
      <name val="Berlin Sans FB Demi"/>
      <family val="2"/>
    </font>
    <font>
      <b/>
      <i/>
      <sz val="12"/>
      <color theme="1"/>
      <name val="Calibri Light"/>
      <family val="2"/>
      <scheme val="major"/>
    </font>
    <font>
      <b/>
      <sz val="11"/>
      <color theme="0"/>
      <name val="Calibri"/>
      <family val="2"/>
    </font>
    <font>
      <b/>
      <sz val="8"/>
      <color rgb="FF0053FA"/>
      <name val="Calibri"/>
      <family val="2"/>
      <scheme val="minor"/>
    </font>
    <font>
      <b/>
      <sz val="8"/>
      <color theme="1"/>
      <name val="Calibri Light"/>
      <family val="2"/>
      <scheme val="major"/>
    </font>
    <font>
      <b/>
      <sz val="14"/>
      <color theme="1"/>
      <name val="Berlin Sans FB Demi"/>
      <family val="2"/>
    </font>
    <font>
      <b/>
      <sz val="12"/>
      <color theme="1"/>
      <name val="Berlin Sans FB Demi"/>
      <family val="2"/>
    </font>
    <font>
      <b/>
      <sz val="12"/>
      <color rgb="FF0053FA"/>
      <name val="Calibri Light"/>
      <family val="2"/>
      <scheme val="major"/>
    </font>
    <font>
      <b/>
      <sz val="9"/>
      <color theme="7"/>
      <name val="Calibri"/>
      <family val="2"/>
      <scheme val="minor"/>
    </font>
    <font>
      <b/>
      <sz val="11"/>
      <color theme="1"/>
      <name val="Berlin Sans FB Demi"/>
      <family val="2"/>
    </font>
    <font>
      <b/>
      <sz val="9"/>
      <color theme="1"/>
      <name val="Berlin Sans FB Demi"/>
      <family val="2"/>
    </font>
    <font>
      <b/>
      <sz val="18"/>
      <color theme="0"/>
      <name val="Calibri"/>
      <family val="2"/>
      <scheme val="minor"/>
    </font>
    <font>
      <b/>
      <sz val="26"/>
      <color rgb="FFFF0000"/>
      <name val="Century Gothic"/>
      <family val="2"/>
    </font>
    <font>
      <b/>
      <sz val="12"/>
      <color theme="0"/>
      <name val="Calibri Light"/>
      <family val="2"/>
      <scheme val="major"/>
    </font>
    <font>
      <b/>
      <sz val="10"/>
      <name val="Gautami"/>
      <family val="2"/>
    </font>
    <font>
      <b/>
      <sz val="11"/>
      <name val="Book Antiqua"/>
      <family val="1"/>
    </font>
    <font>
      <b/>
      <sz val="20"/>
      <color theme="1"/>
      <name val="Calibri"/>
      <family val="2"/>
    </font>
    <font>
      <b/>
      <sz val="13.5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b/>
      <sz val="18"/>
      <name val="Calibri"/>
      <family val="2"/>
    </font>
    <font>
      <b/>
      <sz val="18"/>
      <name val="Times New Roman"/>
      <family val="1"/>
    </font>
    <font>
      <b/>
      <sz val="9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b/>
      <sz val="10"/>
      <name val="Arial"/>
      <family val="2"/>
    </font>
    <font>
      <b/>
      <u/>
      <sz val="9"/>
      <name val="Book Antiqua"/>
      <family val="1"/>
    </font>
    <font>
      <u/>
      <sz val="9"/>
      <name val="Book Antiqua"/>
      <family val="1"/>
    </font>
    <font>
      <b/>
      <sz val="9"/>
      <name val="Book Antiqua"/>
      <family val="1"/>
    </font>
    <font>
      <b/>
      <sz val="10.5"/>
      <name val="Calibri"/>
      <family val="2"/>
      <scheme val="minor"/>
    </font>
    <font>
      <b/>
      <sz val="10"/>
      <name val="Book Antiqua"/>
      <family val="1"/>
    </font>
    <font>
      <sz val="10"/>
      <name val="Calibri"/>
      <family val="2"/>
    </font>
    <font>
      <b/>
      <sz val="14"/>
      <name val="Century Gothic"/>
      <family val="2"/>
    </font>
    <font>
      <b/>
      <sz val="12"/>
      <name val="Calibri Light"/>
      <family val="2"/>
      <scheme val="major"/>
    </font>
    <font>
      <b/>
      <sz val="12"/>
      <name val="Calibri"/>
      <family val="2"/>
      <scheme val="minor"/>
    </font>
    <font>
      <sz val="10"/>
      <name val="Book Antiqua"/>
      <family val="1"/>
    </font>
    <font>
      <sz val="10"/>
      <color indexed="12"/>
      <name val="Book Antiqua"/>
      <family val="1"/>
    </font>
    <font>
      <b/>
      <sz val="10"/>
      <color indexed="12"/>
      <name val="Calibri"/>
      <family val="2"/>
      <scheme val="minor"/>
    </font>
    <font>
      <b/>
      <sz val="10"/>
      <name val="Times New Roman"/>
      <family val="1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b/>
      <sz val="8"/>
      <color indexed="8"/>
      <name val="Calibri"/>
      <family val="2"/>
      <scheme val="minor"/>
    </font>
    <font>
      <sz val="8"/>
      <color theme="1"/>
      <name val="Century Gothic"/>
      <family val="2"/>
    </font>
    <font>
      <sz val="10"/>
      <name val="Calibri"/>
      <family val="2"/>
      <scheme val="minor"/>
    </font>
    <font>
      <b/>
      <sz val="8.5"/>
      <name val="Calibri"/>
      <family val="2"/>
      <scheme val="minor"/>
    </font>
    <font>
      <b/>
      <sz val="11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Calibri Light"/>
      <family val="2"/>
      <scheme val="major"/>
    </font>
    <font>
      <sz val="10"/>
      <color theme="1"/>
      <name val="Book Antiqua"/>
      <family val="1"/>
    </font>
    <font>
      <sz val="8"/>
      <color theme="1"/>
      <name val="Book Antiqua"/>
      <family val="1"/>
    </font>
    <font>
      <b/>
      <u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8"/>
      <color theme="1"/>
      <name val="Book Antiqua"/>
      <family val="1"/>
    </font>
    <font>
      <b/>
      <sz val="10"/>
      <color theme="0"/>
      <name val="Calibri"/>
      <family val="2"/>
    </font>
    <font>
      <b/>
      <sz val="16"/>
      <color theme="1"/>
      <name val="Berlin Sans FB Demi"/>
      <family val="2"/>
    </font>
    <font>
      <b/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rgb="FFFF0000"/>
      <name val="Berlin Sans FB Demi"/>
      <family val="2"/>
    </font>
    <font>
      <b/>
      <sz val="13"/>
      <color rgb="FF0053FA"/>
      <name val="Berlin Sans FB Demi"/>
      <family val="2"/>
    </font>
    <font>
      <b/>
      <sz val="13"/>
      <color rgb="FF0053FA"/>
      <name val="Calibri Light"/>
      <family val="2"/>
      <scheme val="major"/>
    </font>
    <font>
      <b/>
      <sz val="12"/>
      <color theme="1"/>
      <name val="Calibri"/>
      <family val="2"/>
    </font>
    <font>
      <b/>
      <sz val="20"/>
      <color theme="1"/>
      <name val="Century Gothic"/>
      <family val="2"/>
    </font>
    <font>
      <b/>
      <sz val="12"/>
      <color rgb="FFFF0000"/>
      <name val="Century Gothic"/>
      <family val="2"/>
    </font>
    <font>
      <b/>
      <u/>
      <sz val="16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9"/>
      <name val="Arial"/>
      <family val="2"/>
    </font>
    <font>
      <b/>
      <sz val="20"/>
      <name val="Calibri"/>
      <family val="2"/>
      <scheme val="minor"/>
    </font>
    <font>
      <b/>
      <sz val="9"/>
      <color theme="1"/>
      <name val="Century Gothic"/>
      <family val="2"/>
    </font>
    <font>
      <b/>
      <sz val="12"/>
      <color rgb="FF0053FA"/>
      <name val="Berlin Sans FB Demi"/>
      <family val="2"/>
    </font>
    <font>
      <b/>
      <sz val="12"/>
      <name val="Arial"/>
      <family val="2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Book Antiqua"/>
      <family val="1"/>
    </font>
    <font>
      <b/>
      <sz val="14"/>
      <color theme="1"/>
      <name val="Calibri"/>
      <family val="2"/>
    </font>
    <font>
      <sz val="13"/>
      <color theme="1"/>
      <name val="Calibri"/>
      <family val="2"/>
      <scheme val="minor"/>
    </font>
    <font>
      <b/>
      <sz val="10"/>
      <name val="Berlin Sans FB Demi"/>
      <family val="2"/>
    </font>
    <font>
      <b/>
      <sz val="14"/>
      <color theme="1"/>
      <name val="Wingdings"/>
      <charset val="2"/>
    </font>
    <font>
      <b/>
      <sz val="10"/>
      <color theme="1"/>
      <name val="Gautami"/>
      <family val="2"/>
    </font>
    <font>
      <b/>
      <sz val="16"/>
      <color rgb="FFFF0000"/>
      <name val="Verdana"/>
      <family val="2"/>
    </font>
    <font>
      <b/>
      <sz val="12"/>
      <color theme="0"/>
      <name val="Calibri"/>
      <family val="2"/>
    </font>
    <font>
      <b/>
      <sz val="10.5"/>
      <color theme="1"/>
      <name val="Calibri Light"/>
      <family val="2"/>
      <scheme val="major"/>
    </font>
    <font>
      <b/>
      <sz val="11.5"/>
      <color theme="1"/>
      <name val="Berlin Sans FB Demi"/>
      <family val="2"/>
    </font>
    <font>
      <b/>
      <sz val="10.5"/>
      <color rgb="FFFF0000"/>
      <name val="Berlin Sans FB Demi"/>
      <family val="2"/>
    </font>
    <font>
      <b/>
      <sz val="10"/>
      <color theme="1"/>
      <name val="Berlin Sans FB Demi"/>
      <family val="2"/>
    </font>
    <font>
      <b/>
      <sz val="11.5"/>
      <color theme="1"/>
      <name val="Calibri Light"/>
      <family val="2"/>
      <scheme val="major"/>
    </font>
    <font>
      <b/>
      <sz val="13"/>
      <color rgb="FFFF000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entury Gothic"/>
      <family val="2"/>
    </font>
    <font>
      <b/>
      <sz val="18"/>
      <color theme="1"/>
      <name val="Century Gothic"/>
      <family val="2"/>
    </font>
    <font>
      <b/>
      <u/>
      <sz val="12"/>
      <color rgb="FF3605EB"/>
      <name val="Calibri"/>
      <family val="2"/>
      <scheme val="minor"/>
    </font>
    <font>
      <b/>
      <sz val="10"/>
      <color theme="1"/>
      <name val="Verdana"/>
      <family val="2"/>
    </font>
    <font>
      <b/>
      <sz val="11"/>
      <color rgb="FF0053FA"/>
      <name val="Calibri"/>
      <family val="2"/>
      <scheme val="minor"/>
    </font>
    <font>
      <b/>
      <sz val="10"/>
      <color theme="1"/>
      <name val="Century Gothic"/>
      <family val="2"/>
    </font>
    <font>
      <b/>
      <sz val="12"/>
      <color rgb="FFFFC000"/>
      <name val="Calibri"/>
      <family val="2"/>
      <scheme val="minor"/>
    </font>
    <font>
      <b/>
      <sz val="10"/>
      <color rgb="FF0053FA"/>
      <name val="Century Gothic"/>
      <family val="2"/>
    </font>
    <font>
      <b/>
      <sz val="11"/>
      <color rgb="FFFF0000"/>
      <name val="Century Gothic"/>
      <family val="2"/>
    </font>
    <font>
      <b/>
      <sz val="9"/>
      <color rgb="FF0053FA"/>
      <name val="Calibri"/>
      <family val="2"/>
      <scheme val="minor"/>
    </font>
    <font>
      <b/>
      <sz val="12"/>
      <color rgb="FF0053FA"/>
      <name val="Calibri"/>
      <family val="2"/>
      <scheme val="minor"/>
    </font>
    <font>
      <b/>
      <sz val="11"/>
      <color theme="0"/>
      <name val="Gautami"/>
      <family val="2"/>
    </font>
    <font>
      <b/>
      <sz val="14"/>
      <color rgb="FFFFC000"/>
      <name val="Calibri"/>
      <family val="2"/>
      <scheme val="minor"/>
    </font>
    <font>
      <b/>
      <sz val="10"/>
      <color rgb="FF3605EB"/>
      <name val="Calibri"/>
      <family val="2"/>
      <scheme val="minor"/>
    </font>
    <font>
      <b/>
      <sz val="14"/>
      <color rgb="FF0053FA"/>
      <name val="Century Gothic"/>
      <family val="2"/>
    </font>
    <font>
      <b/>
      <i/>
      <sz val="11"/>
      <color theme="1"/>
      <name val="Berlin Sans FB Demi"/>
      <family val="2"/>
    </font>
    <font>
      <b/>
      <i/>
      <sz val="12"/>
      <color theme="1"/>
      <name val="Book Antiqua"/>
      <family val="1"/>
    </font>
    <font>
      <b/>
      <i/>
      <sz val="10"/>
      <color theme="1"/>
      <name val="Book Antiqua"/>
      <family val="1"/>
    </font>
    <font>
      <b/>
      <sz val="9"/>
      <color theme="0"/>
      <name val="Century Gothic"/>
      <family val="2"/>
    </font>
    <font>
      <b/>
      <sz val="11"/>
      <color theme="0"/>
      <name val="Berlin Sans FB Demi"/>
      <family val="2"/>
    </font>
    <font>
      <b/>
      <sz val="14"/>
      <color theme="1"/>
      <name val="Century Gothic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53FA"/>
        <bgColor indexed="64"/>
      </patternFill>
    </fill>
    <fill>
      <patternFill patternType="solid">
        <fgColor rgb="FF92F8AA"/>
        <bgColor indexed="64"/>
      </patternFill>
    </fill>
    <fill>
      <patternFill patternType="solid">
        <fgColor rgb="FF92D050"/>
        <bgColor rgb="FFFF9900"/>
      </patternFill>
    </fill>
    <fill>
      <patternFill patternType="solid">
        <fgColor rgb="FFFDC1B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BBF3F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A08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7ED5A"/>
        <bgColor indexed="64"/>
      </patternFill>
    </fill>
    <fill>
      <patternFill patternType="solid">
        <fgColor rgb="FFF9BFE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EF949"/>
        <bgColor indexed="64"/>
      </patternFill>
    </fill>
    <fill>
      <patternFill patternType="solid">
        <fgColor rgb="FFFEEAE2"/>
        <bgColor indexed="64"/>
      </patternFill>
    </fill>
    <fill>
      <patternFill patternType="solid">
        <fgColor rgb="FFFCBFA6"/>
        <bgColor indexed="64"/>
      </patternFill>
    </fill>
  </fills>
  <borders count="2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505050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10"/>
      </bottom>
      <diagonal/>
    </border>
    <border>
      <left style="medium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auto="1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double">
        <color auto="1"/>
      </left>
      <right style="thin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/>
      <top style="hair">
        <color theme="1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theme="1"/>
      </left>
      <right style="hair">
        <color auto="1"/>
      </right>
      <top style="double">
        <color theme="1"/>
      </top>
      <bottom/>
      <diagonal/>
    </border>
    <border>
      <left style="hair">
        <color auto="1"/>
      </left>
      <right style="hair">
        <color auto="1"/>
      </right>
      <top style="double">
        <color theme="1"/>
      </top>
      <bottom style="hair">
        <color auto="1"/>
      </bottom>
      <diagonal/>
    </border>
    <border>
      <left style="hair">
        <color theme="1"/>
      </left>
      <right style="hair">
        <color theme="1"/>
      </right>
      <top style="double">
        <color theme="1"/>
      </top>
      <bottom style="hair">
        <color theme="1"/>
      </bottom>
      <diagonal/>
    </border>
    <border>
      <left style="hair">
        <color auto="1"/>
      </left>
      <right style="double">
        <color theme="1"/>
      </right>
      <top style="double">
        <color theme="1"/>
      </top>
      <bottom style="hair">
        <color auto="1"/>
      </bottom>
      <diagonal/>
    </border>
    <border>
      <left style="double">
        <color theme="1"/>
      </left>
      <right style="hair">
        <color auto="1"/>
      </right>
      <top/>
      <bottom/>
      <diagonal/>
    </border>
    <border>
      <left style="hair">
        <color auto="1"/>
      </left>
      <right style="double">
        <color theme="1"/>
      </right>
      <top style="hair">
        <color auto="1"/>
      </top>
      <bottom style="hair">
        <color auto="1"/>
      </bottom>
      <diagonal/>
    </border>
    <border>
      <left style="double">
        <color theme="1"/>
      </left>
      <right style="hair">
        <color auto="1"/>
      </right>
      <top/>
      <bottom style="double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theme="1"/>
      </bottom>
      <diagonal/>
    </border>
    <border>
      <left style="hair">
        <color auto="1"/>
      </left>
      <right style="double">
        <color theme="1"/>
      </right>
      <top style="hair">
        <color auto="1"/>
      </top>
      <bottom style="double">
        <color theme="1"/>
      </bottom>
      <diagonal/>
    </border>
    <border>
      <left style="double">
        <color theme="1"/>
      </left>
      <right style="hair">
        <color theme="1"/>
      </right>
      <top style="double">
        <color theme="1"/>
      </top>
      <bottom style="hair">
        <color theme="1"/>
      </bottom>
      <diagonal/>
    </border>
    <border>
      <left style="hair">
        <color theme="1"/>
      </left>
      <right style="double">
        <color theme="1"/>
      </right>
      <top style="double">
        <color theme="1"/>
      </top>
      <bottom style="hair">
        <color theme="1"/>
      </bottom>
      <diagonal/>
    </border>
    <border>
      <left style="double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double">
        <color theme="1"/>
      </right>
      <top style="hair">
        <color theme="1"/>
      </top>
      <bottom style="hair">
        <color theme="1"/>
      </bottom>
      <diagonal/>
    </border>
    <border>
      <left style="double">
        <color theme="1"/>
      </left>
      <right style="hair">
        <color theme="1"/>
      </right>
      <top style="hair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double">
        <color theme="1"/>
      </bottom>
      <diagonal/>
    </border>
    <border>
      <left style="hair">
        <color theme="1"/>
      </left>
      <right style="double">
        <color theme="1"/>
      </right>
      <top style="hair">
        <color theme="1"/>
      </top>
      <bottom style="double">
        <color theme="1"/>
      </bottom>
      <diagonal/>
    </border>
    <border>
      <left style="double">
        <color theme="1"/>
      </left>
      <right style="hair">
        <color theme="1"/>
      </right>
      <top style="double">
        <color theme="1"/>
      </top>
      <bottom/>
      <diagonal/>
    </border>
    <border>
      <left style="hair">
        <color theme="1"/>
      </left>
      <right style="hair">
        <color theme="1"/>
      </right>
      <top style="double">
        <color theme="1"/>
      </top>
      <bottom/>
      <diagonal/>
    </border>
    <border>
      <left style="hair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double">
        <color theme="1"/>
      </right>
      <top/>
      <bottom style="hair">
        <color theme="1"/>
      </bottom>
      <diagonal/>
    </border>
    <border>
      <left style="double">
        <color theme="1"/>
      </left>
      <right/>
      <top style="hair">
        <color theme="1"/>
      </top>
      <bottom style="double">
        <color theme="1"/>
      </bottom>
      <diagonal/>
    </border>
    <border>
      <left/>
      <right/>
      <top style="hair">
        <color theme="1"/>
      </top>
      <bottom style="double">
        <color theme="1"/>
      </bottom>
      <diagonal/>
    </border>
    <border>
      <left/>
      <right style="hair">
        <color theme="1"/>
      </right>
      <top style="hair">
        <color theme="1"/>
      </top>
      <bottom style="double">
        <color theme="1"/>
      </bottom>
      <diagonal/>
    </border>
    <border>
      <left style="double">
        <color theme="1"/>
      </left>
      <right/>
      <top style="hair">
        <color theme="1"/>
      </top>
      <bottom style="hair">
        <color theme="1"/>
      </bottom>
      <diagonal/>
    </border>
    <border>
      <left/>
      <right style="double">
        <color theme="1"/>
      </right>
      <top style="hair">
        <color theme="1"/>
      </top>
      <bottom style="hair">
        <color theme="1"/>
      </bottom>
      <diagonal/>
    </border>
    <border>
      <left style="double">
        <color theme="1"/>
      </left>
      <right/>
      <top style="hair">
        <color theme="1"/>
      </top>
      <bottom/>
      <diagonal/>
    </border>
    <border>
      <left/>
      <right style="double">
        <color theme="1"/>
      </right>
      <top style="hair">
        <color theme="1"/>
      </top>
      <bottom/>
      <diagonal/>
    </border>
    <border>
      <left style="double">
        <color theme="1"/>
      </left>
      <right/>
      <top/>
      <bottom/>
      <diagonal/>
    </border>
    <border>
      <left/>
      <right style="double">
        <color theme="1"/>
      </right>
      <top/>
      <bottom/>
      <diagonal/>
    </border>
    <border>
      <left style="double">
        <color theme="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 style="hair">
        <color theme="1"/>
      </left>
      <right/>
      <top style="hair">
        <color auto="1"/>
      </top>
      <bottom style="hair">
        <color auto="1"/>
      </bottom>
      <diagonal/>
    </border>
    <border>
      <left/>
      <right style="hair">
        <color theme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/>
      <top style="hair">
        <color auto="1"/>
      </top>
      <bottom style="hair">
        <color theme="1"/>
      </bottom>
      <diagonal/>
    </border>
    <border>
      <left/>
      <right/>
      <top style="hair">
        <color auto="1"/>
      </top>
      <bottom style="hair">
        <color theme="1"/>
      </bottom>
      <diagonal/>
    </border>
    <border>
      <left/>
      <right style="hair">
        <color auto="1"/>
      </right>
      <top style="hair">
        <color auto="1"/>
      </top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auto="1"/>
      </left>
      <right/>
      <top style="hair">
        <color auto="1"/>
      </top>
      <bottom style="hair">
        <color theme="1"/>
      </bottom>
      <diagonal/>
    </border>
    <border>
      <left/>
      <right style="hair">
        <color theme="1"/>
      </right>
      <top style="hair">
        <color auto="1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theme="1"/>
      </top>
      <bottom style="double">
        <color rgb="FFFF0000"/>
      </bottom>
      <diagonal/>
    </border>
    <border>
      <left style="double">
        <color theme="1"/>
      </left>
      <right/>
      <top/>
      <bottom style="hair">
        <color theme="1"/>
      </bottom>
      <diagonal/>
    </border>
    <border>
      <left/>
      <right style="double">
        <color theme="1"/>
      </right>
      <top/>
      <bottom style="hair">
        <color theme="1"/>
      </bottom>
      <diagonal/>
    </border>
    <border>
      <left style="double">
        <color theme="1"/>
      </left>
      <right/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hair">
        <color auto="1"/>
      </bottom>
      <diagonal/>
    </border>
  </borders>
  <cellStyleXfs count="12">
    <xf numFmtId="0" fontId="0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</cellStyleXfs>
  <cellXfs count="1485">
    <xf numFmtId="0" fontId="0" fillId="0" borderId="0" xfId="0"/>
    <xf numFmtId="0" fontId="0" fillId="0" borderId="0" xfId="0" applyProtection="1">
      <protection hidden="1"/>
    </xf>
    <xf numFmtId="0" fontId="3" fillId="0" borderId="4" xfId="0" applyFont="1" applyBorder="1" applyProtection="1">
      <protection hidden="1"/>
    </xf>
    <xf numFmtId="0" fontId="10" fillId="0" borderId="4" xfId="2" applyFont="1" applyBorder="1" applyProtection="1">
      <protection hidden="1"/>
    </xf>
    <xf numFmtId="0" fontId="9" fillId="0" borderId="4" xfId="0" applyFont="1" applyBorder="1" applyProtection="1">
      <protection hidden="1"/>
    </xf>
    <xf numFmtId="165" fontId="8" fillId="0" borderId="0" xfId="0" applyNumberFormat="1" applyFont="1" applyBorder="1" applyAlignment="1" applyProtection="1">
      <alignment horizontal="right"/>
      <protection hidden="1"/>
    </xf>
    <xf numFmtId="0" fontId="3" fillId="0" borderId="0" xfId="0" applyFont="1" applyBorder="1" applyProtection="1">
      <protection hidden="1"/>
    </xf>
    <xf numFmtId="1" fontId="3" fillId="0" borderId="0" xfId="0" applyNumberFormat="1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8" fillId="0" borderId="0" xfId="0" applyFont="1" applyBorder="1" applyAlignment="1" applyProtection="1">
      <alignment horizontal="right"/>
      <protection hidden="1"/>
    </xf>
    <xf numFmtId="164" fontId="3" fillId="0" borderId="0" xfId="0" applyNumberFormat="1" applyFont="1" applyBorder="1" applyProtection="1">
      <protection hidden="1"/>
    </xf>
    <xf numFmtId="0" fontId="9" fillId="0" borderId="0" xfId="1" applyFont="1" applyBorder="1" applyProtection="1">
      <protection hidden="1"/>
    </xf>
    <xf numFmtId="0" fontId="10" fillId="0" borderId="0" xfId="2" applyFont="1" applyBorder="1" applyProtection="1">
      <protection hidden="1"/>
    </xf>
    <xf numFmtId="0" fontId="15" fillId="0" borderId="5" xfId="0" applyFont="1" applyBorder="1" applyAlignment="1" applyProtection="1">
      <alignment horizontal="right" vertical="center"/>
      <protection locked="0"/>
    </xf>
    <xf numFmtId="0" fontId="16" fillId="0" borderId="0" xfId="0" applyFont="1"/>
    <xf numFmtId="0" fontId="0" fillId="0" borderId="0" xfId="0" applyBorder="1" applyProtection="1">
      <protection hidden="1"/>
    </xf>
    <xf numFmtId="0" fontId="0" fillId="0" borderId="0" xfId="0" applyFill="1" applyBorder="1"/>
    <xf numFmtId="167" fontId="8" fillId="0" borderId="4" xfId="0" applyNumberFormat="1" applyFont="1" applyBorder="1" applyAlignment="1" applyProtection="1">
      <alignment horizontal="right"/>
      <protection hidden="1"/>
    </xf>
    <xf numFmtId="167" fontId="15" fillId="0" borderId="5" xfId="0" applyNumberFormat="1" applyFont="1" applyBorder="1" applyAlignment="1" applyProtection="1">
      <alignment horizontal="right" vertical="center"/>
      <protection locked="0" hidden="1"/>
    </xf>
    <xf numFmtId="0" fontId="17" fillId="0" borderId="0" xfId="0" applyFont="1" applyBorder="1" applyAlignment="1" applyProtection="1">
      <alignment vertical="center" wrapText="1"/>
      <protection hidden="1"/>
    </xf>
    <xf numFmtId="0" fontId="12" fillId="0" borderId="0" xfId="0" applyFont="1" applyBorder="1" applyProtection="1">
      <protection hidden="1"/>
    </xf>
    <xf numFmtId="0" fontId="8" fillId="0" borderId="0" xfId="0" applyFont="1" applyBorder="1" applyProtection="1">
      <protection hidden="1"/>
    </xf>
    <xf numFmtId="167" fontId="12" fillId="0" borderId="4" xfId="0" applyNumberFormat="1" applyFont="1" applyBorder="1" applyAlignment="1" applyProtection="1">
      <alignment horizontal="right" vertical="center"/>
      <protection locked="0"/>
    </xf>
    <xf numFmtId="0" fontId="1" fillId="0" borderId="0" xfId="7" applyBorder="1" applyProtection="1">
      <protection hidden="1"/>
    </xf>
    <xf numFmtId="0" fontId="33" fillId="0" borderId="23" xfId="7" applyFont="1" applyBorder="1" applyAlignment="1" applyProtection="1">
      <protection hidden="1"/>
    </xf>
    <xf numFmtId="0" fontId="35" fillId="0" borderId="25" xfId="7" applyFont="1" applyBorder="1" applyAlignment="1" applyProtection="1">
      <alignment horizontal="right" vertical="center" wrapText="1"/>
      <protection hidden="1"/>
    </xf>
    <xf numFmtId="0" fontId="35" fillId="0" borderId="28" xfId="7" applyFont="1" applyBorder="1" applyAlignment="1" applyProtection="1">
      <alignment horizontal="right" vertical="center" wrapText="1"/>
      <protection hidden="1"/>
    </xf>
    <xf numFmtId="1" fontId="3" fillId="0" borderId="1" xfId="7" applyNumberFormat="1" applyFont="1" applyBorder="1" applyProtection="1">
      <protection hidden="1"/>
    </xf>
    <xf numFmtId="1" fontId="3" fillId="0" borderId="1" xfId="7" applyNumberFormat="1" applyFont="1" applyBorder="1" applyAlignment="1" applyProtection="1">
      <alignment horizontal="right"/>
      <protection hidden="1"/>
    </xf>
    <xf numFmtId="1" fontId="3" fillId="0" borderId="1" xfId="7" applyNumberFormat="1" applyFont="1" applyBorder="1" applyAlignment="1" applyProtection="1">
      <protection hidden="1"/>
    </xf>
    <xf numFmtId="1" fontId="3" fillId="0" borderId="1" xfId="7" applyNumberFormat="1" applyFont="1" applyFill="1" applyBorder="1" applyProtection="1">
      <protection hidden="1"/>
    </xf>
    <xf numFmtId="1" fontId="3" fillId="0" borderId="1" xfId="7" applyNumberFormat="1" applyFont="1" applyBorder="1" applyAlignment="1" applyProtection="1">
      <alignment vertical="center"/>
      <protection hidden="1"/>
    </xf>
    <xf numFmtId="1" fontId="37" fillId="0" borderId="28" xfId="7" applyNumberFormat="1" applyFont="1" applyBorder="1" applyAlignment="1" applyProtection="1">
      <alignment vertical="center"/>
      <protection hidden="1"/>
    </xf>
    <xf numFmtId="1" fontId="9" fillId="0" borderId="1" xfId="7" applyNumberFormat="1" applyFont="1" applyBorder="1" applyAlignment="1" applyProtection="1">
      <alignment horizontal="right" vertical="center"/>
      <protection hidden="1"/>
    </xf>
    <xf numFmtId="0" fontId="9" fillId="9" borderId="4" xfId="0" applyFont="1" applyFill="1" applyBorder="1" applyAlignment="1" applyProtection="1">
      <alignment horizontal="left" vertical="center" wrapText="1"/>
      <protection hidden="1"/>
    </xf>
    <xf numFmtId="0" fontId="8" fillId="9" borderId="4" xfId="0" applyFont="1" applyFill="1" applyBorder="1" applyAlignment="1" applyProtection="1">
      <alignment horizontal="left" vertical="center" wrapText="1"/>
      <protection hidden="1"/>
    </xf>
    <xf numFmtId="10" fontId="12" fillId="0" borderId="1" xfId="9" applyNumberFormat="1" applyFont="1" applyBorder="1" applyProtection="1">
      <protection hidden="1"/>
    </xf>
    <xf numFmtId="167" fontId="36" fillId="0" borderId="40" xfId="7" applyNumberFormat="1" applyFont="1" applyBorder="1" applyAlignment="1" applyProtection="1">
      <alignment horizontal="right"/>
      <protection hidden="1"/>
    </xf>
    <xf numFmtId="1" fontId="3" fillId="0" borderId="41" xfId="7" applyNumberFormat="1" applyFont="1" applyBorder="1" applyProtection="1">
      <protection hidden="1"/>
    </xf>
    <xf numFmtId="10" fontId="12" fillId="0" borderId="41" xfId="9" applyNumberFormat="1" applyFont="1" applyBorder="1" applyProtection="1">
      <protection hidden="1"/>
    </xf>
    <xf numFmtId="169" fontId="12" fillId="0" borderId="42" xfId="9" applyNumberFormat="1" applyFont="1" applyBorder="1" applyProtection="1">
      <protection hidden="1"/>
    </xf>
    <xf numFmtId="0" fontId="36" fillId="0" borderId="0" xfId="1" applyFont="1" applyFill="1" applyBorder="1" applyAlignment="1" applyProtection="1">
      <protection hidden="1"/>
    </xf>
    <xf numFmtId="42" fontId="36" fillId="0" borderId="4" xfId="4" applyNumberFormat="1" applyFont="1" applyFill="1" applyBorder="1" applyAlignment="1" applyProtection="1">
      <protection hidden="1"/>
    </xf>
    <xf numFmtId="0" fontId="36" fillId="0" borderId="12" xfId="1" applyFont="1" applyFill="1" applyBorder="1" applyAlignment="1" applyProtection="1">
      <alignment horizontal="center" vertical="center"/>
      <protection hidden="1"/>
    </xf>
    <xf numFmtId="0" fontId="36" fillId="0" borderId="51" xfId="1" applyFont="1" applyFill="1" applyBorder="1" applyAlignment="1" applyProtection="1">
      <alignment vertical="center"/>
      <protection hidden="1"/>
    </xf>
    <xf numFmtId="0" fontId="42" fillId="0" borderId="17" xfId="1" applyFont="1" applyFill="1" applyBorder="1" applyAlignment="1" applyProtection="1">
      <alignment vertical="center"/>
      <protection hidden="1"/>
    </xf>
    <xf numFmtId="0" fontId="42" fillId="0" borderId="51" xfId="1" applyFont="1" applyFill="1" applyBorder="1" applyAlignment="1" applyProtection="1">
      <alignment vertical="center"/>
      <protection hidden="1"/>
    </xf>
    <xf numFmtId="0" fontId="42" fillId="0" borderId="53" xfId="1" applyFont="1" applyFill="1" applyBorder="1" applyAlignment="1" applyProtection="1">
      <alignment vertical="center"/>
      <protection hidden="1"/>
    </xf>
    <xf numFmtId="0" fontId="36" fillId="0" borderId="39" xfId="1" applyFont="1" applyFill="1" applyBorder="1" applyAlignment="1" applyProtection="1">
      <alignment vertical="center"/>
      <protection hidden="1"/>
    </xf>
    <xf numFmtId="0" fontId="43" fillId="0" borderId="39" xfId="1" applyFont="1" applyFill="1" applyBorder="1" applyAlignment="1" applyProtection="1">
      <alignment vertical="center"/>
      <protection hidden="1"/>
    </xf>
    <xf numFmtId="0" fontId="43" fillId="0" borderId="39" xfId="1" applyFont="1" applyFill="1" applyBorder="1" applyAlignment="1" applyProtection="1">
      <alignment horizontal="left" vertical="center"/>
      <protection hidden="1"/>
    </xf>
    <xf numFmtId="0" fontId="42" fillId="0" borderId="39" xfId="1" applyFont="1" applyFill="1" applyBorder="1" applyAlignment="1" applyProtection="1">
      <alignment vertical="center"/>
      <protection hidden="1"/>
    </xf>
    <xf numFmtId="0" fontId="36" fillId="0" borderId="39" xfId="1" applyFont="1" applyFill="1" applyBorder="1" applyAlignment="1" applyProtection="1">
      <alignment horizontal="left" vertical="center"/>
      <protection hidden="1"/>
    </xf>
    <xf numFmtId="0" fontId="42" fillId="0" borderId="12" xfId="1" applyFont="1" applyFill="1" applyBorder="1" applyAlignment="1" applyProtection="1">
      <alignment horizontal="left" vertical="center"/>
      <protection hidden="1"/>
    </xf>
    <xf numFmtId="0" fontId="42" fillId="0" borderId="39" xfId="1" applyFont="1" applyFill="1" applyBorder="1" applyAlignment="1" applyProtection="1">
      <alignment horizontal="left" vertical="center"/>
      <protection hidden="1"/>
    </xf>
    <xf numFmtId="1" fontId="36" fillId="0" borderId="4" xfId="1" applyNumberFormat="1" applyFont="1" applyFill="1" applyBorder="1" applyAlignment="1" applyProtection="1">
      <alignment horizontal="right" vertical="center"/>
      <protection hidden="1"/>
    </xf>
    <xf numFmtId="0" fontId="4" fillId="0" borderId="0" xfId="1" applyAlignment="1" applyProtection="1">
      <alignment horizontal="center"/>
      <protection hidden="1"/>
    </xf>
    <xf numFmtId="0" fontId="4" fillId="0" borderId="0" xfId="1" applyProtection="1">
      <protection hidden="1"/>
    </xf>
    <xf numFmtId="0" fontId="8" fillId="0" borderId="0" xfId="1" applyFont="1" applyAlignment="1" applyProtection="1">
      <alignment horizontal="center"/>
      <protection hidden="1"/>
    </xf>
    <xf numFmtId="0" fontId="4" fillId="0" borderId="0" xfId="4" applyNumberFormat="1" applyFont="1" applyAlignment="1" applyProtection="1">
      <alignment horizontal="right"/>
      <protection hidden="1"/>
    </xf>
    <xf numFmtId="0" fontId="4" fillId="0" borderId="0" xfId="1" applyNumberFormat="1" applyAlignment="1" applyProtection="1">
      <alignment horizontal="right"/>
      <protection hidden="1"/>
    </xf>
    <xf numFmtId="0" fontId="41" fillId="0" borderId="0" xfId="1" applyFont="1" applyProtection="1">
      <protection hidden="1"/>
    </xf>
    <xf numFmtId="0" fontId="1" fillId="0" borderId="0" xfId="7" applyProtection="1">
      <protection hidden="1"/>
    </xf>
    <xf numFmtId="0" fontId="32" fillId="0" borderId="0" xfId="7" applyFont="1" applyProtection="1">
      <protection hidden="1"/>
    </xf>
    <xf numFmtId="0" fontId="13" fillId="0" borderId="0" xfId="7" applyFont="1" applyBorder="1" applyAlignment="1" applyProtection="1">
      <alignment vertical="center"/>
      <protection hidden="1"/>
    </xf>
    <xf numFmtId="0" fontId="55" fillId="0" borderId="4" xfId="1" applyFont="1" applyBorder="1" applyAlignment="1" applyProtection="1">
      <alignment horizontal="center" vertical="center"/>
      <protection hidden="1"/>
    </xf>
    <xf numFmtId="0" fontId="47" fillId="0" borderId="4" xfId="1" applyFont="1" applyFill="1" applyBorder="1" applyAlignment="1" applyProtection="1">
      <alignment horizontal="right" vertical="center"/>
      <protection hidden="1"/>
    </xf>
    <xf numFmtId="42" fontId="36" fillId="0" borderId="8" xfId="1" applyNumberFormat="1" applyFont="1" applyFill="1" applyBorder="1" applyAlignment="1" applyProtection="1">
      <alignment vertical="center"/>
      <protection hidden="1"/>
    </xf>
    <xf numFmtId="0" fontId="4" fillId="0" borderId="7" xfId="1" applyFont="1" applyFill="1" applyBorder="1" applyAlignment="1" applyProtection="1">
      <protection hidden="1"/>
    </xf>
    <xf numFmtId="0" fontId="42" fillId="0" borderId="8" xfId="1" applyFont="1" applyFill="1" applyBorder="1" applyAlignment="1" applyProtection="1">
      <alignment vertical="center"/>
      <protection hidden="1"/>
    </xf>
    <xf numFmtId="0" fontId="43" fillId="0" borderId="8" xfId="1" applyFont="1" applyFill="1" applyBorder="1" applyAlignment="1" applyProtection="1">
      <alignment vertical="center"/>
      <protection hidden="1"/>
    </xf>
    <xf numFmtId="0" fontId="34" fillId="0" borderId="39" xfId="1" applyFont="1" applyFill="1" applyBorder="1" applyAlignment="1" applyProtection="1">
      <alignment horizontal="right" vertical="center"/>
      <protection hidden="1"/>
    </xf>
    <xf numFmtId="168" fontId="24" fillId="0" borderId="52" xfId="1" applyNumberFormat="1" applyFont="1" applyFill="1" applyBorder="1" applyAlignment="1" applyProtection="1">
      <alignment horizontal="center"/>
      <protection hidden="1"/>
    </xf>
    <xf numFmtId="168" fontId="24" fillId="0" borderId="49" xfId="1" applyNumberFormat="1" applyFont="1" applyFill="1" applyBorder="1" applyAlignment="1" applyProtection="1">
      <alignment horizontal="center"/>
      <protection hidden="1"/>
    </xf>
    <xf numFmtId="0" fontId="24" fillId="0" borderId="39" xfId="1" applyFont="1" applyFill="1" applyBorder="1" applyAlignment="1" applyProtection="1">
      <alignment horizontal="center" vertical="center"/>
      <protection hidden="1"/>
    </xf>
    <xf numFmtId="1" fontId="3" fillId="0" borderId="29" xfId="7" applyNumberFormat="1" applyFont="1" applyBorder="1" applyAlignment="1" applyProtection="1">
      <alignment vertical="center"/>
      <protection hidden="1"/>
    </xf>
    <xf numFmtId="1" fontId="9" fillId="0" borderId="28" xfId="7" applyNumberFormat="1" applyFont="1" applyBorder="1" applyAlignment="1" applyProtection="1">
      <alignment vertical="center"/>
      <protection hidden="1"/>
    </xf>
    <xf numFmtId="0" fontId="47" fillId="9" borderId="4" xfId="0" applyFont="1" applyFill="1" applyBorder="1" applyAlignment="1" applyProtection="1">
      <alignment horizontal="left" vertical="center"/>
      <protection hidden="1"/>
    </xf>
    <xf numFmtId="10" fontId="18" fillId="0" borderId="4" xfId="0" applyNumberFormat="1" applyFont="1" applyFill="1" applyBorder="1" applyAlignment="1" applyProtection="1">
      <alignment horizontal="right" vertical="center"/>
      <protection locked="0"/>
    </xf>
    <xf numFmtId="0" fontId="9" fillId="10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" fontId="12" fillId="0" borderId="1" xfId="7" applyNumberFormat="1" applyFont="1" applyBorder="1" applyAlignment="1" applyProtection="1">
      <alignment horizontal="right" vertical="center"/>
      <protection hidden="1"/>
    </xf>
    <xf numFmtId="1" fontId="36" fillId="0" borderId="28" xfId="7" applyNumberFormat="1" applyFont="1" applyBorder="1" applyAlignment="1" applyProtection="1">
      <alignment horizontal="left" vertical="center"/>
      <protection hidden="1"/>
    </xf>
    <xf numFmtId="171" fontId="36" fillId="0" borderId="6" xfId="4" applyNumberFormat="1" applyFont="1" applyFill="1" applyBorder="1" applyAlignment="1" applyProtection="1">
      <protection hidden="1"/>
    </xf>
    <xf numFmtId="171" fontId="36" fillId="0" borderId="8" xfId="4" applyNumberFormat="1" applyFont="1" applyFill="1" applyBorder="1" applyAlignment="1" applyProtection="1">
      <protection hidden="1"/>
    </xf>
    <xf numFmtId="171" fontId="36" fillId="0" borderId="50" xfId="1" applyNumberFormat="1" applyFont="1" applyFill="1" applyBorder="1" applyAlignment="1" applyProtection="1">
      <protection hidden="1"/>
    </xf>
    <xf numFmtId="171" fontId="36" fillId="0" borderId="4" xfId="4" applyNumberFormat="1" applyFont="1" applyFill="1" applyBorder="1" applyAlignment="1" applyProtection="1">
      <protection hidden="1"/>
    </xf>
    <xf numFmtId="171" fontId="36" fillId="0" borderId="50" xfId="4" applyNumberFormat="1" applyFont="1" applyFill="1" applyBorder="1" applyAlignment="1" applyProtection="1">
      <protection hidden="1"/>
    </xf>
    <xf numFmtId="0" fontId="44" fillId="0" borderId="0" xfId="1" applyFont="1" applyProtection="1">
      <protection hidden="1"/>
    </xf>
    <xf numFmtId="0" fontId="57" fillId="2" borderId="4" xfId="0" applyFont="1" applyFill="1" applyBorder="1" applyAlignment="1" applyProtection="1">
      <alignment horizontal="left" vertical="center"/>
      <protection hidden="1"/>
    </xf>
    <xf numFmtId="171" fontId="4" fillId="0" borderId="0" xfId="1" applyNumberFormat="1" applyProtection="1">
      <protection hidden="1"/>
    </xf>
    <xf numFmtId="1" fontId="9" fillId="0" borderId="4" xfId="1" applyNumberFormat="1" applyFont="1" applyBorder="1" applyProtection="1">
      <protection hidden="1"/>
    </xf>
    <xf numFmtId="1" fontId="3" fillId="0" borderId="4" xfId="0" applyNumberFormat="1" applyFont="1" applyFill="1" applyBorder="1" applyProtection="1">
      <protection hidden="1"/>
    </xf>
    <xf numFmtId="172" fontId="4" fillId="0" borderId="0" xfId="1" applyNumberFormat="1" applyProtection="1">
      <protection hidden="1"/>
    </xf>
    <xf numFmtId="173" fontId="4" fillId="0" borderId="0" xfId="1" applyNumberFormat="1" applyProtection="1">
      <protection hidden="1"/>
    </xf>
    <xf numFmtId="0" fontId="31" fillId="0" borderId="4" xfId="0" applyFont="1" applyBorder="1" applyAlignment="1" applyProtection="1">
      <alignment horizontal="right" vertical="center"/>
      <protection locked="0"/>
    </xf>
    <xf numFmtId="1" fontId="3" fillId="0" borderId="0" xfId="1" applyNumberFormat="1" applyFont="1" applyProtection="1">
      <protection hidden="1"/>
    </xf>
    <xf numFmtId="1" fontId="3" fillId="0" borderId="4" xfId="1" applyNumberFormat="1" applyFont="1" applyBorder="1" applyProtection="1">
      <protection hidden="1"/>
    </xf>
    <xf numFmtId="0" fontId="4" fillId="0" borderId="4" xfId="1" applyBorder="1" applyProtection="1">
      <protection hidden="1"/>
    </xf>
    <xf numFmtId="0" fontId="3" fillId="0" borderId="4" xfId="1" applyFont="1" applyBorder="1" applyProtection="1">
      <protection hidden="1"/>
    </xf>
    <xf numFmtId="0" fontId="60" fillId="0" borderId="4" xfId="1" applyFont="1" applyBorder="1" applyAlignment="1" applyProtection="1">
      <alignment horizontal="right" vertical="center"/>
      <protection hidden="1"/>
    </xf>
    <xf numFmtId="0" fontId="9" fillId="0" borderId="4" xfId="1" applyFont="1" applyBorder="1" applyAlignment="1" applyProtection="1">
      <alignment horizontal="left" vertical="center"/>
      <protection hidden="1"/>
    </xf>
    <xf numFmtId="0" fontId="3" fillId="4" borderId="4" xfId="0" applyFont="1" applyFill="1" applyBorder="1" applyProtection="1">
      <protection hidden="1"/>
    </xf>
    <xf numFmtId="0" fontId="3" fillId="0" borderId="22" xfId="0" applyFont="1" applyFill="1" applyBorder="1" applyAlignment="1" applyProtection="1">
      <alignment horizontal="right" vertical="center"/>
      <protection locked="0"/>
    </xf>
    <xf numFmtId="1" fontId="0" fillId="0" borderId="0" xfId="0" applyNumberFormat="1" applyBorder="1" applyProtection="1">
      <protection hidden="1"/>
    </xf>
    <xf numFmtId="0" fontId="57" fillId="12" borderId="4" xfId="0" applyFont="1" applyFill="1" applyBorder="1" applyAlignment="1" applyProtection="1">
      <alignment horizontal="left" vertical="center"/>
      <protection hidden="1"/>
    </xf>
    <xf numFmtId="0" fontId="61" fillId="12" borderId="4" xfId="0" applyFont="1" applyFill="1" applyBorder="1" applyAlignment="1" applyProtection="1">
      <alignment horizontal="left" vertical="center"/>
      <protection hidden="1"/>
    </xf>
    <xf numFmtId="1" fontId="62" fillId="12" borderId="4" xfId="0" applyNumberFormat="1" applyFont="1" applyFill="1" applyBorder="1" applyAlignment="1" applyProtection="1">
      <alignment horizontal="right" vertical="center"/>
      <protection hidden="1"/>
    </xf>
    <xf numFmtId="1" fontId="62" fillId="12" borderId="4" xfId="0" applyNumberFormat="1" applyFont="1" applyFill="1" applyBorder="1" applyAlignment="1" applyProtection="1">
      <alignment horizontal="right" vertical="center" wrapText="1"/>
      <protection hidden="1"/>
    </xf>
    <xf numFmtId="167" fontId="8" fillId="0" borderId="0" xfId="0" applyNumberFormat="1" applyFont="1" applyFill="1" applyBorder="1" applyProtection="1">
      <protection hidden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/>
    <xf numFmtId="0" fontId="12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/>
    </xf>
    <xf numFmtId="0" fontId="9" fillId="0" borderId="4" xfId="0" applyFont="1" applyBorder="1" applyAlignment="1" applyProtection="1">
      <alignment horizontal="right" vertical="center"/>
      <protection hidden="1"/>
    </xf>
    <xf numFmtId="0" fontId="11" fillId="0" borderId="4" xfId="0" applyFont="1" applyBorder="1" applyAlignment="1" applyProtection="1">
      <alignment horizontal="right" vertical="center"/>
      <protection hidden="1"/>
    </xf>
    <xf numFmtId="0" fontId="8" fillId="0" borderId="4" xfId="0" applyFont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65" fillId="5" borderId="4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 applyProtection="1">
      <alignment horizontal="center" vertical="center"/>
      <protection hidden="1"/>
    </xf>
    <xf numFmtId="1" fontId="3" fillId="0" borderId="4" xfId="0" applyNumberFormat="1" applyFont="1" applyBorder="1" applyAlignment="1" applyProtection="1">
      <alignment horizontal="right" vertical="center"/>
      <protection locked="0"/>
    </xf>
    <xf numFmtId="1" fontId="3" fillId="0" borderId="4" xfId="0" applyNumberFormat="1" applyFont="1" applyBorder="1" applyProtection="1">
      <protection locked="0"/>
    </xf>
    <xf numFmtId="0" fontId="3" fillId="11" borderId="4" xfId="0" applyFont="1" applyFill="1" applyBorder="1" applyAlignment="1" applyProtection="1">
      <alignment horizontal="center" vertical="center"/>
      <protection hidden="1"/>
    </xf>
    <xf numFmtId="0" fontId="12" fillId="10" borderId="4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169" fontId="12" fillId="0" borderId="26" xfId="9" applyNumberFormat="1" applyFont="1" applyBorder="1" applyProtection="1"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12" fillId="12" borderId="4" xfId="0" applyFont="1" applyFill="1" applyBorder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2" fillId="6" borderId="4" xfId="0" applyFont="1" applyFill="1" applyBorder="1" applyAlignment="1">
      <alignment horizontal="center" vertical="center"/>
    </xf>
    <xf numFmtId="0" fontId="65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Protection="1">
      <protection hidden="1"/>
    </xf>
    <xf numFmtId="0" fontId="67" fillId="0" borderId="0" xfId="0" applyFont="1" applyFill="1" applyBorder="1" applyAlignment="1" applyProtection="1">
      <alignment vertical="center"/>
      <protection hidden="1"/>
    </xf>
    <xf numFmtId="167" fontId="24" fillId="6" borderId="4" xfId="0" applyNumberFormat="1" applyFont="1" applyFill="1" applyBorder="1" applyAlignment="1" applyProtection="1">
      <alignment horizontal="right"/>
      <protection hidden="1"/>
    </xf>
    <xf numFmtId="0" fontId="34" fillId="0" borderId="0" xfId="1" applyFont="1" applyFill="1" applyBorder="1" applyAlignment="1" applyProtection="1">
      <alignment horizontal="right" vertical="center"/>
      <protection hidden="1"/>
    </xf>
    <xf numFmtId="1" fontId="36" fillId="0" borderId="0" xfId="1" applyNumberFormat="1" applyFont="1" applyFill="1" applyBorder="1" applyAlignment="1" applyProtection="1">
      <alignment vertical="center"/>
      <protection hidden="1"/>
    </xf>
    <xf numFmtId="0" fontId="9" fillId="0" borderId="4" xfId="1" applyFont="1" applyFill="1" applyBorder="1" applyAlignment="1" applyProtection="1">
      <alignment horizontal="right" vertical="center"/>
      <protection hidden="1"/>
    </xf>
    <xf numFmtId="0" fontId="54" fillId="0" borderId="4" xfId="1" applyFont="1" applyBorder="1" applyAlignment="1" applyProtection="1">
      <alignment vertical="center"/>
      <protection hidden="1"/>
    </xf>
    <xf numFmtId="0" fontId="54" fillId="0" borderId="4" xfId="1" applyFont="1" applyBorder="1" applyAlignment="1" applyProtection="1">
      <alignment horizontal="right" vertical="center"/>
      <protection hidden="1"/>
    </xf>
    <xf numFmtId="1" fontId="29" fillId="0" borderId="4" xfId="1" applyNumberFormat="1" applyFont="1" applyFill="1" applyBorder="1" applyAlignment="1" applyProtection="1">
      <alignment vertical="center"/>
      <protection hidden="1"/>
    </xf>
    <xf numFmtId="0" fontId="74" fillId="9" borderId="22" xfId="1" applyFont="1" applyFill="1" applyBorder="1" applyAlignment="1" applyProtection="1">
      <alignment horizontal="center" vertical="center"/>
      <protection hidden="1"/>
    </xf>
    <xf numFmtId="0" fontId="77" fillId="5" borderId="5" xfId="0" applyFont="1" applyFill="1" applyBorder="1" applyAlignment="1">
      <alignment horizontal="center" wrapText="1"/>
    </xf>
    <xf numFmtId="174" fontId="63" fillId="0" borderId="4" xfId="0" applyNumberFormat="1" applyFont="1" applyBorder="1" applyAlignment="1" applyProtection="1">
      <alignment horizontal="right" vertical="center"/>
      <protection hidden="1"/>
    </xf>
    <xf numFmtId="0" fontId="4" fillId="0" borderId="0" xfId="1" applyAlignment="1" applyProtection="1">
      <alignment horizontal="left"/>
      <protection hidden="1"/>
    </xf>
    <xf numFmtId="0" fontId="3" fillId="0" borderId="4" xfId="0" applyFont="1" applyBorder="1" applyProtection="1">
      <protection locked="0"/>
    </xf>
    <xf numFmtId="0" fontId="9" fillId="0" borderId="0" xfId="0" applyFont="1" applyAlignment="1">
      <alignment vertical="center" wrapText="1"/>
    </xf>
    <xf numFmtId="0" fontId="18" fillId="0" borderId="0" xfId="0" applyFont="1" applyFill="1" applyBorder="1" applyAlignment="1" applyProtection="1">
      <alignment vertical="center"/>
      <protection hidden="1"/>
    </xf>
    <xf numFmtId="0" fontId="57" fillId="0" borderId="0" xfId="0" applyFont="1" applyFill="1" applyBorder="1" applyAlignment="1" applyProtection="1">
      <alignment vertical="center"/>
      <protection hidden="1"/>
    </xf>
    <xf numFmtId="0" fontId="63" fillId="0" borderId="0" xfId="1" applyFont="1" applyBorder="1" applyAlignment="1" applyProtection="1">
      <alignment vertical="center"/>
      <protection hidden="1"/>
    </xf>
    <xf numFmtId="0" fontId="75" fillId="0" borderId="39" xfId="1" applyFont="1" applyFill="1" applyBorder="1" applyAlignment="1" applyProtection="1">
      <alignment horizontal="center" vertical="center"/>
      <protection hidden="1"/>
    </xf>
    <xf numFmtId="0" fontId="64" fillId="14" borderId="4" xfId="0" applyFont="1" applyFill="1" applyBorder="1" applyAlignment="1" applyProtection="1">
      <alignment horizontal="left" vertical="center"/>
      <protection hidden="1"/>
    </xf>
    <xf numFmtId="0" fontId="82" fillId="0" borderId="0" xfId="0" applyFont="1" applyAlignment="1" applyProtection="1">
      <alignment horizontal="center" vertical="center"/>
      <protection hidden="1"/>
    </xf>
    <xf numFmtId="0" fontId="83" fillId="5" borderId="5" xfId="0" applyFont="1" applyFill="1" applyBorder="1" applyAlignment="1" applyProtection="1">
      <alignment horizontal="center" vertical="center" wrapText="1"/>
      <protection hidden="1"/>
    </xf>
    <xf numFmtId="0" fontId="12" fillId="8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86" fillId="0" borderId="4" xfId="0" applyFont="1" applyBorder="1" applyAlignment="1">
      <alignment horizontal="right" vertical="center"/>
    </xf>
    <xf numFmtId="0" fontId="86" fillId="0" borderId="4" xfId="0" applyFont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1" fontId="12" fillId="16" borderId="4" xfId="0" applyNumberFormat="1" applyFont="1" applyFill="1" applyBorder="1" applyAlignment="1" applyProtection="1">
      <alignment horizontal="right" vertical="center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9" fillId="3" borderId="4" xfId="0" applyFont="1" applyFill="1" applyBorder="1" applyAlignment="1" applyProtection="1">
      <alignment horizontal="center" vertical="center" wrapText="1"/>
      <protection hidden="1"/>
    </xf>
    <xf numFmtId="173" fontId="12" fillId="16" borderId="4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69" fontId="3" fillId="2" borderId="4" xfId="0" applyNumberFormat="1" applyFont="1" applyFill="1" applyBorder="1" applyAlignment="1" applyProtection="1">
      <alignment horizontal="right" vertical="center"/>
      <protection hidden="1"/>
    </xf>
    <xf numFmtId="0" fontId="56" fillId="5" borderId="4" xfId="0" applyFont="1" applyFill="1" applyBorder="1" applyAlignment="1">
      <alignment horizontal="right" vertical="center" wrapText="1"/>
    </xf>
    <xf numFmtId="0" fontId="4" fillId="0" borderId="0" xfId="1" applyAlignment="1">
      <alignment horizontal="center" vertical="center"/>
    </xf>
    <xf numFmtId="0" fontId="4" fillId="0" borderId="0" xfId="1"/>
    <xf numFmtId="0" fontId="13" fillId="0" borderId="0" xfId="5" applyFont="1" applyBorder="1" applyAlignment="1" applyProtection="1">
      <alignment vertical="center"/>
    </xf>
    <xf numFmtId="0" fontId="97" fillId="0" borderId="63" xfId="1" applyFont="1" applyBorder="1" applyAlignment="1" applyProtection="1">
      <alignment horizontal="center" vertical="center"/>
      <protection hidden="1"/>
    </xf>
    <xf numFmtId="0" fontId="96" fillId="0" borderId="63" xfId="1" applyFont="1" applyBorder="1" applyAlignment="1" applyProtection="1">
      <alignment vertical="center"/>
      <protection hidden="1"/>
    </xf>
    <xf numFmtId="0" fontId="96" fillId="0" borderId="64" xfId="1" applyFont="1" applyBorder="1" applyAlignment="1" applyProtection="1">
      <alignment vertical="center"/>
      <protection hidden="1"/>
    </xf>
    <xf numFmtId="0" fontId="1" fillId="0" borderId="0" xfId="5" applyBorder="1" applyAlignment="1"/>
    <xf numFmtId="0" fontId="1" fillId="0" borderId="0" xfId="5" applyAlignment="1"/>
    <xf numFmtId="176" fontId="98" fillId="0" borderId="0" xfId="1" applyNumberFormat="1" applyFont="1" applyBorder="1" applyAlignment="1" applyProtection="1">
      <alignment horizontal="center"/>
      <protection hidden="1"/>
    </xf>
    <xf numFmtId="0" fontId="100" fillId="0" borderId="1" xfId="1" applyFont="1" applyBorder="1" applyAlignment="1" applyProtection="1">
      <alignment horizontal="center" vertical="center" wrapText="1"/>
      <protection hidden="1"/>
    </xf>
    <xf numFmtId="1" fontId="101" fillId="0" borderId="41" xfId="1" applyNumberFormat="1" applyFont="1" applyBorder="1" applyAlignment="1" applyProtection="1">
      <alignment horizontal="center" vertical="center"/>
      <protection hidden="1"/>
    </xf>
    <xf numFmtId="0" fontId="93" fillId="0" borderId="29" xfId="1" applyFont="1" applyBorder="1" applyAlignment="1" applyProtection="1">
      <alignment horizontal="center" vertical="center"/>
      <protection hidden="1"/>
    </xf>
    <xf numFmtId="1" fontId="101" fillId="0" borderId="71" xfId="1" applyNumberFormat="1" applyFont="1" applyBorder="1" applyAlignment="1" applyProtection="1">
      <alignment horizontal="center" vertical="center"/>
      <protection hidden="1"/>
    </xf>
    <xf numFmtId="0" fontId="104" fillId="0" borderId="77" xfId="1" applyFont="1" applyBorder="1" applyAlignment="1" applyProtection="1">
      <alignment horizontal="center" vertical="center"/>
      <protection hidden="1"/>
    </xf>
    <xf numFmtId="0" fontId="26" fillId="0" borderId="63" xfId="1" applyFont="1" applyBorder="1" applyAlignment="1" applyProtection="1">
      <alignment vertical="center"/>
      <protection hidden="1"/>
    </xf>
    <xf numFmtId="42" fontId="100" fillId="0" borderId="78" xfId="1" applyNumberFormat="1" applyFont="1" applyBorder="1" applyAlignment="1" applyProtection="1">
      <alignment vertical="center"/>
      <protection hidden="1"/>
    </xf>
    <xf numFmtId="42" fontId="105" fillId="0" borderId="63" xfId="1" applyNumberFormat="1" applyFont="1" applyBorder="1" applyAlignment="1" applyProtection="1">
      <alignment vertical="center"/>
      <protection hidden="1"/>
    </xf>
    <xf numFmtId="42" fontId="100" fillId="0" borderId="79" xfId="1" applyNumberFormat="1" applyFont="1" applyBorder="1" applyAlignment="1" applyProtection="1">
      <alignment vertical="center"/>
      <protection hidden="1"/>
    </xf>
    <xf numFmtId="0" fontId="104" fillId="0" borderId="80" xfId="1" applyFont="1" applyBorder="1" applyAlignment="1" applyProtection="1">
      <alignment horizontal="center" vertical="center"/>
      <protection hidden="1"/>
    </xf>
    <xf numFmtId="0" fontId="26" fillId="0" borderId="0" xfId="1" applyFont="1" applyBorder="1" applyAlignment="1" applyProtection="1">
      <alignment horizontal="right" vertical="center"/>
      <protection hidden="1"/>
    </xf>
    <xf numFmtId="42" fontId="100" fillId="0" borderId="1" xfId="1" applyNumberFormat="1" applyFont="1" applyBorder="1" applyAlignment="1" applyProtection="1">
      <alignment vertical="center"/>
      <protection hidden="1"/>
    </xf>
    <xf numFmtId="42" fontId="105" fillId="0" borderId="0" xfId="1" applyNumberFormat="1" applyFont="1" applyBorder="1" applyAlignment="1" applyProtection="1">
      <alignment vertical="center"/>
      <protection hidden="1"/>
    </xf>
    <xf numFmtId="42" fontId="100" fillId="0" borderId="32" xfId="1" applyNumberFormat="1" applyFont="1" applyBorder="1" applyAlignment="1" applyProtection="1">
      <alignment vertical="center"/>
      <protection hidden="1"/>
    </xf>
    <xf numFmtId="0" fontId="26" fillId="0" borderId="0" xfId="1" applyFont="1" applyBorder="1" applyAlignment="1" applyProtection="1">
      <alignment vertical="center"/>
      <protection hidden="1"/>
    </xf>
    <xf numFmtId="0" fontId="26" fillId="0" borderId="1" xfId="1" applyFont="1" applyBorder="1" applyAlignment="1" applyProtection="1">
      <alignment horizontal="center" vertical="center"/>
      <protection hidden="1"/>
    </xf>
    <xf numFmtId="42" fontId="106" fillId="0" borderId="0" xfId="1" applyNumberFormat="1" applyFont="1" applyBorder="1" applyAlignment="1" applyProtection="1">
      <alignment horizontal="right" vertical="center"/>
      <protection hidden="1"/>
    </xf>
    <xf numFmtId="42" fontId="106" fillId="0" borderId="0" xfId="1" applyNumberFormat="1" applyFont="1" applyBorder="1" applyAlignment="1" applyProtection="1">
      <alignment vertical="center"/>
      <protection hidden="1"/>
    </xf>
    <xf numFmtId="3" fontId="107" fillId="0" borderId="0" xfId="1" applyNumberFormat="1" applyFont="1" applyBorder="1" applyAlignment="1" applyProtection="1">
      <alignment vertical="center"/>
      <protection hidden="1"/>
    </xf>
    <xf numFmtId="3" fontId="107" fillId="0" borderId="0" xfId="1" applyNumberFormat="1" applyFont="1" applyBorder="1" applyAlignment="1" applyProtection="1">
      <alignment horizontal="right" vertical="center"/>
      <protection hidden="1"/>
    </xf>
    <xf numFmtId="3" fontId="26" fillId="0" borderId="1" xfId="1" applyNumberFormat="1" applyFont="1" applyBorder="1" applyAlignment="1" applyProtection="1">
      <alignment horizontal="center" vertical="center"/>
      <protection hidden="1"/>
    </xf>
    <xf numFmtId="3" fontId="107" fillId="0" borderId="0" xfId="1" applyNumberFormat="1" applyFont="1" applyBorder="1" applyAlignment="1" applyProtection="1">
      <alignment horizontal="left" vertical="center"/>
      <protection hidden="1"/>
    </xf>
    <xf numFmtId="42" fontId="100" fillId="0" borderId="47" xfId="1" applyNumberFormat="1" applyFont="1" applyBorder="1" applyAlignment="1" applyProtection="1">
      <alignment vertical="center"/>
      <protection hidden="1"/>
    </xf>
    <xf numFmtId="0" fontId="9" fillId="0" borderId="0" xfId="1" applyFont="1" applyBorder="1" applyAlignment="1" applyProtection="1">
      <alignment horizontal="center" vertical="center"/>
      <protection hidden="1"/>
    </xf>
    <xf numFmtId="42" fontId="108" fillId="0" borderId="0" xfId="1" applyNumberFormat="1" applyFont="1" applyBorder="1" applyAlignment="1" applyProtection="1">
      <alignment horizontal="center" vertical="center"/>
      <protection hidden="1"/>
    </xf>
    <xf numFmtId="3" fontId="26" fillId="0" borderId="0" xfId="1" applyNumberFormat="1" applyFont="1" applyFill="1" applyBorder="1" applyAlignment="1" applyProtection="1">
      <alignment horizontal="right" vertical="center"/>
      <protection hidden="1"/>
    </xf>
    <xf numFmtId="0" fontId="26" fillId="0" borderId="0" xfId="1" applyFont="1" applyFill="1" applyBorder="1" applyAlignment="1" applyProtection="1">
      <alignment vertical="center"/>
      <protection hidden="1"/>
    </xf>
    <xf numFmtId="0" fontId="26" fillId="0" borderId="0" xfId="1" applyNumberFormat="1" applyFont="1" applyFill="1" applyBorder="1" applyAlignment="1" applyProtection="1">
      <alignment vertical="center"/>
      <protection hidden="1"/>
    </xf>
    <xf numFmtId="42" fontId="100" fillId="0" borderId="1" xfId="1" applyNumberFormat="1" applyFont="1" applyFill="1" applyBorder="1" applyProtection="1">
      <protection hidden="1"/>
    </xf>
    <xf numFmtId="0" fontId="26" fillId="0" borderId="68" xfId="1" applyNumberFormat="1" applyFont="1" applyFill="1" applyBorder="1" applyAlignment="1" applyProtection="1">
      <alignment vertical="center"/>
      <protection hidden="1"/>
    </xf>
    <xf numFmtId="0" fontId="26" fillId="0" borderId="0" xfId="1" applyFont="1" applyFill="1" applyBorder="1" applyAlignment="1" applyProtection="1">
      <alignment horizontal="left" vertical="center"/>
      <protection hidden="1"/>
    </xf>
    <xf numFmtId="3" fontId="26" fillId="0" borderId="0" xfId="1" applyNumberFormat="1" applyFont="1" applyFill="1" applyBorder="1" applyAlignment="1" applyProtection="1">
      <alignment horizontal="left" vertical="center"/>
      <protection hidden="1"/>
    </xf>
    <xf numFmtId="3" fontId="26" fillId="0" borderId="0" xfId="1" applyNumberFormat="1" applyFont="1" applyFill="1" applyBorder="1" applyAlignment="1" applyProtection="1">
      <alignment vertical="center"/>
      <protection hidden="1"/>
    </xf>
    <xf numFmtId="0" fontId="110" fillId="0" borderId="0" xfId="1" applyFont="1" applyBorder="1" applyAlignment="1" applyProtection="1">
      <alignment vertical="center"/>
      <protection hidden="1"/>
    </xf>
    <xf numFmtId="42" fontId="100" fillId="0" borderId="0" xfId="1" applyNumberFormat="1" applyFont="1" applyFill="1" applyBorder="1" applyAlignment="1" applyProtection="1">
      <alignment vertical="center"/>
      <protection hidden="1"/>
    </xf>
    <xf numFmtId="0" fontId="26" fillId="0" borderId="68" xfId="1" applyFont="1" applyFill="1" applyBorder="1" applyAlignment="1" applyProtection="1">
      <alignment vertical="center"/>
      <protection hidden="1"/>
    </xf>
    <xf numFmtId="42" fontId="100" fillId="0" borderId="67" xfId="1" applyNumberFormat="1" applyFont="1" applyBorder="1" applyAlignment="1" applyProtection="1">
      <alignment vertical="center"/>
      <protection hidden="1"/>
    </xf>
    <xf numFmtId="42" fontId="100" fillId="0" borderId="70" xfId="1" applyNumberFormat="1" applyFont="1" applyBorder="1" applyAlignment="1" applyProtection="1">
      <alignment vertical="center"/>
      <protection hidden="1"/>
    </xf>
    <xf numFmtId="0" fontId="112" fillId="0" borderId="55" xfId="1" applyFont="1" applyBorder="1" applyAlignment="1" applyProtection="1">
      <alignment horizontal="right" vertical="center"/>
      <protection hidden="1"/>
    </xf>
    <xf numFmtId="0" fontId="112" fillId="0" borderId="29" xfId="1" applyFont="1" applyBorder="1" applyAlignment="1" applyProtection="1">
      <alignment horizontal="right" vertical="center"/>
      <protection hidden="1"/>
    </xf>
    <xf numFmtId="42" fontId="100" fillId="0" borderId="31" xfId="1" applyNumberFormat="1" applyFont="1" applyBorder="1" applyAlignment="1" applyProtection="1">
      <alignment vertical="center"/>
      <protection hidden="1"/>
    </xf>
    <xf numFmtId="0" fontId="104" fillId="0" borderId="82" xfId="1" applyFont="1" applyBorder="1" applyAlignment="1" applyProtection="1">
      <alignment horizontal="center" vertical="center"/>
      <protection hidden="1"/>
    </xf>
    <xf numFmtId="42" fontId="100" fillId="0" borderId="85" xfId="1" applyNumberFormat="1" applyFont="1" applyBorder="1" applyAlignment="1" applyProtection="1">
      <alignment vertical="center"/>
      <protection hidden="1"/>
    </xf>
    <xf numFmtId="0" fontId="115" fillId="0" borderId="0" xfId="1" applyFont="1"/>
    <xf numFmtId="0" fontId="18" fillId="0" borderId="86" xfId="1" applyFont="1" applyBorder="1" applyAlignment="1" applyProtection="1">
      <alignment horizontal="center" vertical="center"/>
      <protection hidden="1"/>
    </xf>
    <xf numFmtId="0" fontId="105" fillId="0" borderId="88" xfId="1" applyFont="1" applyBorder="1" applyAlignment="1" applyProtection="1">
      <alignment vertical="center"/>
      <protection hidden="1"/>
    </xf>
    <xf numFmtId="42" fontId="100" fillId="0" borderId="89" xfId="1" applyNumberFormat="1" applyFont="1" applyBorder="1" applyAlignment="1" applyProtection="1">
      <alignment vertical="center"/>
      <protection hidden="1"/>
    </xf>
    <xf numFmtId="0" fontId="18" fillId="0" borderId="90" xfId="1" applyFont="1" applyBorder="1" applyAlignment="1" applyProtection="1">
      <alignment horizontal="center" vertical="center"/>
      <protection hidden="1"/>
    </xf>
    <xf numFmtId="0" fontId="105" fillId="0" borderId="1" xfId="1" applyFont="1" applyBorder="1" applyAlignment="1" applyProtection="1">
      <alignment vertical="center"/>
      <protection hidden="1"/>
    </xf>
    <xf numFmtId="42" fontId="36" fillId="0" borderId="1" xfId="1" applyNumberFormat="1" applyFont="1" applyBorder="1" applyAlignment="1" applyProtection="1">
      <alignment horizontal="center" vertical="center"/>
      <protection hidden="1"/>
    </xf>
    <xf numFmtId="0" fontId="9" fillId="0" borderId="48" xfId="1" applyFont="1" applyBorder="1" applyAlignment="1" applyProtection="1">
      <alignment horizontal="center" vertical="center"/>
      <protection hidden="1"/>
    </xf>
    <xf numFmtId="0" fontId="26" fillId="0" borderId="90" xfId="1" applyFont="1" applyBorder="1" applyAlignment="1" applyProtection="1">
      <alignment horizontal="center" vertical="center"/>
      <protection hidden="1"/>
    </xf>
    <xf numFmtId="0" fontId="18" fillId="0" borderId="40" xfId="1" applyFont="1" applyBorder="1" applyAlignment="1" applyProtection="1">
      <alignment horizontal="center" vertical="center"/>
      <protection hidden="1"/>
    </xf>
    <xf numFmtId="42" fontId="100" fillId="0" borderId="32" xfId="1" applyNumberFormat="1" applyFont="1" applyBorder="1" applyAlignment="1" applyProtection="1">
      <alignment horizontal="right" vertical="center"/>
      <protection hidden="1"/>
    </xf>
    <xf numFmtId="0" fontId="120" fillId="0" borderId="30" xfId="1" applyFont="1" applyBorder="1" applyAlignment="1" applyProtection="1">
      <alignment vertical="center"/>
      <protection hidden="1"/>
    </xf>
    <xf numFmtId="0" fontId="120" fillId="0" borderId="1" xfId="1" applyFont="1" applyBorder="1" applyAlignment="1" applyProtection="1">
      <alignment horizontal="center" vertical="center"/>
      <protection hidden="1"/>
    </xf>
    <xf numFmtId="0" fontId="120" fillId="0" borderId="48" xfId="1" applyFont="1" applyBorder="1" applyAlignment="1" applyProtection="1">
      <alignment vertical="center"/>
      <protection hidden="1"/>
    </xf>
    <xf numFmtId="0" fontId="120" fillId="0" borderId="47" xfId="1" applyFont="1" applyBorder="1" applyAlignment="1" applyProtection="1">
      <alignment horizontal="center" vertical="center"/>
      <protection hidden="1"/>
    </xf>
    <xf numFmtId="0" fontId="120" fillId="0" borderId="48" xfId="1" applyFont="1" applyBorder="1" applyProtection="1">
      <protection hidden="1"/>
    </xf>
    <xf numFmtId="0" fontId="121" fillId="0" borderId="48" xfId="1" applyFont="1" applyBorder="1" applyProtection="1">
      <protection hidden="1"/>
    </xf>
    <xf numFmtId="0" fontId="121" fillId="0" borderId="0" xfId="1" applyFont="1" applyBorder="1" applyProtection="1">
      <protection hidden="1"/>
    </xf>
    <xf numFmtId="0" fontId="122" fillId="0" borderId="0" xfId="1" applyFont="1" applyBorder="1" applyAlignment="1" applyProtection="1">
      <alignment vertical="center"/>
      <protection hidden="1"/>
    </xf>
    <xf numFmtId="0" fontId="121" fillId="0" borderId="0" xfId="1" applyFont="1" applyBorder="1" applyAlignment="1" applyProtection="1">
      <alignment vertical="center"/>
      <protection hidden="1"/>
    </xf>
    <xf numFmtId="0" fontId="121" fillId="0" borderId="47" xfId="1" applyFont="1" applyBorder="1" applyAlignment="1" applyProtection="1">
      <alignment vertical="center"/>
      <protection hidden="1"/>
    </xf>
    <xf numFmtId="0" fontId="36" fillId="0" borderId="48" xfId="1" applyFont="1" applyBorder="1" applyAlignment="1" applyProtection="1">
      <alignment vertical="center"/>
      <protection hidden="1"/>
    </xf>
    <xf numFmtId="0" fontId="47" fillId="0" borderId="0" xfId="1" applyFont="1" applyBorder="1" applyAlignment="1" applyProtection="1">
      <alignment horizontal="right" vertical="center"/>
      <protection hidden="1"/>
    </xf>
    <xf numFmtId="0" fontId="21" fillId="0" borderId="0" xfId="1" applyFont="1" applyBorder="1" applyProtection="1">
      <protection hidden="1"/>
    </xf>
    <xf numFmtId="0" fontId="123" fillId="0" borderId="0" xfId="1" applyFont="1" applyBorder="1" applyAlignment="1" applyProtection="1">
      <alignment horizontal="right" vertical="center"/>
      <protection hidden="1"/>
    </xf>
    <xf numFmtId="0" fontId="124" fillId="0" borderId="48" xfId="1" applyFont="1" applyBorder="1" applyProtection="1">
      <protection hidden="1"/>
    </xf>
    <xf numFmtId="0" fontId="124" fillId="0" borderId="0" xfId="1" applyFont="1" applyBorder="1" applyProtection="1">
      <protection hidden="1"/>
    </xf>
    <xf numFmtId="177" fontId="125" fillId="0" borderId="0" xfId="1" applyNumberFormat="1" applyFont="1" applyBorder="1" applyProtection="1">
      <protection hidden="1"/>
    </xf>
    <xf numFmtId="177" fontId="125" fillId="0" borderId="0" xfId="1" applyNumberFormat="1" applyFont="1" applyBorder="1" applyAlignment="1" applyProtection="1">
      <alignment horizontal="left"/>
      <protection hidden="1"/>
    </xf>
    <xf numFmtId="0" fontId="70" fillId="0" borderId="0" xfId="1" applyFont="1" applyBorder="1" applyAlignment="1" applyProtection="1">
      <alignment horizontal="right" vertical="center"/>
      <protection hidden="1"/>
    </xf>
    <xf numFmtId="0" fontId="4" fillId="0" borderId="0" xfId="1" applyBorder="1" applyProtection="1">
      <protection hidden="1"/>
    </xf>
    <xf numFmtId="0" fontId="34" fillId="0" borderId="0" xfId="1" applyFont="1" applyBorder="1" applyAlignment="1" applyProtection="1">
      <alignment horizontal="right" vertical="center"/>
      <protection hidden="1"/>
    </xf>
    <xf numFmtId="176" fontId="36" fillId="0" borderId="0" xfId="1" applyNumberFormat="1" applyFont="1" applyBorder="1" applyAlignment="1" applyProtection="1">
      <alignment horizontal="left" vertical="center"/>
      <protection hidden="1"/>
    </xf>
    <xf numFmtId="176" fontId="36" fillId="0" borderId="47" xfId="1" applyNumberFormat="1" applyFont="1" applyBorder="1" applyAlignment="1" applyProtection="1">
      <alignment horizontal="left" vertical="center"/>
      <protection hidden="1"/>
    </xf>
    <xf numFmtId="0" fontId="58" fillId="0" borderId="0" xfId="1" applyNumberFormat="1" applyFont="1" applyFill="1" applyBorder="1" applyAlignment="1" applyProtection="1">
      <alignment vertical="center"/>
      <protection hidden="1"/>
    </xf>
    <xf numFmtId="0" fontId="58" fillId="0" borderId="68" xfId="1" applyNumberFormat="1" applyFont="1" applyFill="1" applyBorder="1" applyAlignment="1" applyProtection="1">
      <alignment vertical="center"/>
      <protection hidden="1"/>
    </xf>
    <xf numFmtId="42" fontId="100" fillId="0" borderId="55" xfId="1" applyNumberFormat="1" applyFont="1" applyBorder="1" applyAlignment="1" applyProtection="1">
      <alignment vertical="center"/>
      <protection hidden="1"/>
    </xf>
    <xf numFmtId="0" fontId="27" fillId="0" borderId="0" xfId="6" applyFont="1" applyFill="1" applyBorder="1" applyAlignment="1" applyProtection="1">
      <alignment horizontal="right"/>
      <protection hidden="1"/>
    </xf>
    <xf numFmtId="0" fontId="19" fillId="7" borderId="1" xfId="6" applyFont="1" applyFill="1" applyBorder="1" applyAlignment="1" applyProtection="1">
      <alignment horizontal="center" vertical="center"/>
      <protection hidden="1"/>
    </xf>
    <xf numFmtId="0" fontId="21" fillId="0" borderId="1" xfId="6" applyFont="1" applyFill="1" applyBorder="1" applyAlignment="1" applyProtection="1">
      <alignment horizontal="right"/>
      <protection hidden="1"/>
    </xf>
    <xf numFmtId="0" fontId="27" fillId="0" borderId="0" xfId="6" applyFont="1" applyFill="1" applyBorder="1" applyAlignment="1" applyProtection="1">
      <alignment vertical="center"/>
      <protection hidden="1"/>
    </xf>
    <xf numFmtId="0" fontId="22" fillId="0" borderId="1" xfId="6" applyFont="1" applyFill="1" applyBorder="1" applyAlignment="1" applyProtection="1">
      <alignment horizontal="right" vertical="center"/>
      <protection hidden="1"/>
    </xf>
    <xf numFmtId="0" fontId="25" fillId="0" borderId="0" xfId="6" applyFont="1" applyFill="1" applyBorder="1" applyAlignment="1" applyProtection="1">
      <alignment vertical="center"/>
      <protection hidden="1"/>
    </xf>
    <xf numFmtId="178" fontId="9" fillId="0" borderId="17" xfId="1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right"/>
    </xf>
    <xf numFmtId="0" fontId="36" fillId="19" borderId="28" xfId="0" applyFont="1" applyFill="1" applyBorder="1" applyAlignment="1" applyProtection="1">
      <alignment horizontal="center" vertical="center"/>
    </xf>
    <xf numFmtId="0" fontId="36" fillId="19" borderId="1" xfId="0" applyFont="1" applyFill="1" applyBorder="1" applyAlignment="1" applyProtection="1">
      <alignment horizontal="center" vertical="center" wrapText="1"/>
    </xf>
    <xf numFmtId="0" fontId="36" fillId="19" borderId="32" xfId="0" applyFont="1" applyFill="1" applyBorder="1" applyAlignment="1" applyProtection="1">
      <alignment horizontal="center" vertical="center" wrapText="1"/>
    </xf>
    <xf numFmtId="0" fontId="37" fillId="19" borderId="28" xfId="0" quotePrefix="1" applyFont="1" applyFill="1" applyBorder="1" applyAlignment="1" applyProtection="1">
      <alignment horizontal="center" vertical="center" wrapText="1"/>
    </xf>
    <xf numFmtId="0" fontId="37" fillId="19" borderId="1" xfId="0" quotePrefix="1" applyFont="1" applyFill="1" applyBorder="1" applyAlignment="1" applyProtection="1">
      <alignment horizontal="center" vertical="center" wrapText="1"/>
    </xf>
    <xf numFmtId="0" fontId="37" fillId="19" borderId="32" xfId="0" quotePrefix="1" applyFont="1" applyFill="1" applyBorder="1" applyAlignment="1" applyProtection="1">
      <alignment horizontal="center" vertical="center" wrapText="1"/>
    </xf>
    <xf numFmtId="0" fontId="34" fillId="19" borderId="69" xfId="0" applyFont="1" applyFill="1" applyBorder="1" applyAlignment="1" applyProtection="1">
      <alignment horizontal="center" vertical="center" wrapText="1"/>
    </xf>
    <xf numFmtId="0" fontId="36" fillId="19" borderId="106" xfId="0" applyFont="1" applyFill="1" applyBorder="1" applyAlignment="1" applyProtection="1">
      <alignment horizontal="right" vertical="top" wrapText="1"/>
    </xf>
    <xf numFmtId="0" fontId="36" fillId="19" borderId="54" xfId="0" applyFont="1" applyFill="1" applyBorder="1" applyAlignment="1" applyProtection="1">
      <alignment horizontal="right" vertical="top" wrapText="1"/>
    </xf>
    <xf numFmtId="0" fontId="34" fillId="19" borderId="90" xfId="0" applyFont="1" applyFill="1" applyBorder="1" applyAlignment="1" applyProtection="1">
      <alignment horizontal="center" vertical="center" wrapText="1"/>
    </xf>
    <xf numFmtId="42" fontId="36" fillId="19" borderId="4" xfId="11" applyNumberFormat="1" applyFont="1" applyFill="1" applyBorder="1" applyAlignment="1" applyProtection="1">
      <alignment horizontal="right" vertical="top" wrapText="1"/>
    </xf>
    <xf numFmtId="0" fontId="36" fillId="19" borderId="50" xfId="0" applyFont="1" applyFill="1" applyBorder="1" applyAlignment="1" applyProtection="1">
      <alignment horizontal="right" vertical="top" wrapText="1"/>
    </xf>
    <xf numFmtId="181" fontId="36" fillId="19" borderId="4" xfId="11" applyNumberFormat="1" applyFont="1" applyFill="1" applyBorder="1" applyAlignment="1" applyProtection="1">
      <alignment horizontal="right" vertical="top" wrapText="1"/>
    </xf>
    <xf numFmtId="0" fontId="34" fillId="19" borderId="40" xfId="0" applyFont="1" applyFill="1" applyBorder="1" applyAlignment="1" applyProtection="1">
      <alignment horizontal="center" vertical="center" wrapText="1"/>
    </xf>
    <xf numFmtId="0" fontId="34" fillId="19" borderId="28" xfId="0" applyFont="1" applyFill="1" applyBorder="1" applyAlignment="1" applyProtection="1">
      <alignment horizontal="center" vertical="center" wrapText="1"/>
    </xf>
    <xf numFmtId="181" fontId="36" fillId="19" borderId="113" xfId="11" applyNumberFormat="1" applyFont="1" applyFill="1" applyBorder="1" applyAlignment="1" applyProtection="1">
      <alignment horizontal="right" vertical="top" wrapText="1"/>
    </xf>
    <xf numFmtId="0" fontId="36" fillId="19" borderId="114" xfId="0" applyFont="1" applyFill="1" applyBorder="1" applyAlignment="1" applyProtection="1">
      <alignment horizontal="right" vertical="top" wrapText="1"/>
    </xf>
    <xf numFmtId="181" fontId="36" fillId="19" borderId="6" xfId="11" applyNumberFormat="1" applyFont="1" applyFill="1" applyBorder="1" applyAlignment="1" applyProtection="1">
      <alignment horizontal="right" vertical="top" wrapText="1"/>
    </xf>
    <xf numFmtId="181" fontId="36" fillId="19" borderId="110" xfId="11" applyNumberFormat="1" applyFont="1" applyFill="1" applyBorder="1" applyAlignment="1" applyProtection="1">
      <alignment horizontal="right" vertical="top" wrapText="1"/>
    </xf>
    <xf numFmtId="0" fontId="36" fillId="19" borderId="117" xfId="0" applyFont="1" applyFill="1" applyBorder="1" applyAlignment="1" applyProtection="1">
      <alignment horizontal="right" vertical="top" wrapText="1"/>
    </xf>
    <xf numFmtId="0" fontId="36" fillId="19" borderId="6" xfId="0" applyFont="1" applyFill="1" applyBorder="1" applyAlignment="1" applyProtection="1">
      <alignment horizontal="right" vertical="top" wrapText="1"/>
    </xf>
    <xf numFmtId="0" fontId="36" fillId="19" borderId="4" xfId="0" applyFont="1" applyFill="1" applyBorder="1" applyAlignment="1" applyProtection="1">
      <alignment horizontal="right" vertical="top" wrapText="1"/>
    </xf>
    <xf numFmtId="0" fontId="36" fillId="19" borderId="107" xfId="0" applyFont="1" applyFill="1" applyBorder="1" applyAlignment="1" applyProtection="1">
      <alignment horizontal="right" vertical="top" wrapText="1"/>
    </xf>
    <xf numFmtId="0" fontId="36" fillId="19" borderId="22" xfId="0" applyFont="1" applyFill="1" applyBorder="1" applyAlignment="1" applyProtection="1">
      <alignment horizontal="left" wrapText="1"/>
    </xf>
    <xf numFmtId="176" fontId="36" fillId="19" borderId="8" xfId="11" applyNumberFormat="1" applyFont="1" applyFill="1" applyBorder="1" applyAlignment="1" applyProtection="1">
      <alignment wrapText="1"/>
    </xf>
    <xf numFmtId="42" fontId="36" fillId="19" borderId="4" xfId="11" applyNumberFormat="1" applyFont="1" applyFill="1" applyBorder="1" applyAlignment="1" applyProtection="1">
      <alignment horizontal="right" wrapText="1"/>
    </xf>
    <xf numFmtId="0" fontId="34" fillId="19" borderId="50" xfId="0" applyFont="1" applyFill="1" applyBorder="1" applyAlignment="1" applyProtection="1">
      <alignment horizontal="right" wrapText="1"/>
    </xf>
    <xf numFmtId="176" fontId="36" fillId="19" borderId="22" xfId="11" applyNumberFormat="1" applyFont="1" applyFill="1" applyBorder="1" applyAlignment="1" applyProtection="1">
      <alignment horizontal="left" wrapText="1"/>
    </xf>
    <xf numFmtId="0" fontId="34" fillId="19" borderId="50" xfId="0" applyFont="1" applyFill="1" applyBorder="1" applyAlignment="1" applyProtection="1">
      <alignment horizontal="right"/>
    </xf>
    <xf numFmtId="42" fontId="36" fillId="19" borderId="4" xfId="0" applyNumberFormat="1" applyFont="1" applyFill="1" applyBorder="1" applyAlignment="1" applyProtection="1">
      <alignment horizontal="right" vertical="top" wrapText="1"/>
    </xf>
    <xf numFmtId="0" fontId="34" fillId="19" borderId="50" xfId="0" applyFont="1" applyFill="1" applyBorder="1" applyAlignment="1" applyProtection="1">
      <alignment horizontal="right" vertical="top" wrapText="1"/>
    </xf>
    <xf numFmtId="0" fontId="36" fillId="19" borderId="107" xfId="0" applyFont="1" applyFill="1" applyBorder="1" applyAlignment="1" applyProtection="1">
      <alignment vertical="top" wrapText="1"/>
    </xf>
    <xf numFmtId="0" fontId="36" fillId="19" borderId="22" xfId="0" applyFont="1" applyFill="1" applyBorder="1" applyAlignment="1" applyProtection="1">
      <alignment wrapText="1"/>
    </xf>
    <xf numFmtId="0" fontId="36" fillId="19" borderId="8" xfId="0" applyFont="1" applyFill="1" applyBorder="1" applyAlignment="1" applyProtection="1">
      <alignment wrapText="1"/>
    </xf>
    <xf numFmtId="0" fontId="12" fillId="19" borderId="22" xfId="0" applyFont="1" applyFill="1" applyBorder="1" applyAlignment="1" applyProtection="1"/>
    <xf numFmtId="0" fontId="36" fillId="19" borderId="108" xfId="0" applyFont="1" applyFill="1" applyBorder="1" applyAlignment="1" applyProtection="1">
      <alignment vertical="top" wrapText="1"/>
    </xf>
    <xf numFmtId="0" fontId="36" fillId="19" borderId="118" xfId="0" applyFont="1" applyFill="1" applyBorder="1" applyAlignment="1" applyProtection="1">
      <alignment vertical="top" wrapText="1"/>
    </xf>
    <xf numFmtId="0" fontId="36" fillId="19" borderId="109" xfId="0" applyFont="1" applyFill="1" applyBorder="1" applyAlignment="1" applyProtection="1">
      <alignment vertical="top" wrapText="1"/>
    </xf>
    <xf numFmtId="0" fontId="36" fillId="19" borderId="39" xfId="0" applyFont="1" applyFill="1" applyBorder="1" applyAlignment="1" applyProtection="1">
      <alignment horizontal="left" wrapText="1"/>
    </xf>
    <xf numFmtId="0" fontId="36" fillId="19" borderId="107" xfId="0" applyFont="1" applyFill="1" applyBorder="1" applyAlignment="1" applyProtection="1">
      <alignment vertical="top"/>
    </xf>
    <xf numFmtId="0" fontId="34" fillId="19" borderId="8" xfId="0" applyFont="1" applyFill="1" applyBorder="1" applyAlignment="1" applyProtection="1"/>
    <xf numFmtId="169" fontId="3" fillId="0" borderId="4" xfId="0" applyNumberFormat="1" applyFont="1" applyFill="1" applyBorder="1" applyAlignment="1" applyProtection="1">
      <alignment horizontal="right" vertical="center"/>
      <protection locked="0" hidden="1"/>
    </xf>
    <xf numFmtId="1" fontId="30" fillId="0" borderId="4" xfId="0" applyNumberFormat="1" applyFont="1" applyFill="1" applyBorder="1" applyAlignment="1" applyProtection="1">
      <alignment vertical="center"/>
      <protection locked="0"/>
    </xf>
    <xf numFmtId="1" fontId="3" fillId="0" borderId="29" xfId="7" applyNumberFormat="1" applyFont="1" applyBorder="1" applyProtection="1">
      <protection hidden="1"/>
    </xf>
    <xf numFmtId="0" fontId="9" fillId="9" borderId="4" xfId="0" applyFont="1" applyFill="1" applyBorder="1" applyAlignment="1" applyProtection="1">
      <alignment horizontal="left" vertical="center"/>
      <protection hidden="1"/>
    </xf>
    <xf numFmtId="0" fontId="130" fillId="0" borderId="48" xfId="1" applyFont="1" applyFill="1" applyBorder="1" applyAlignment="1" applyProtection="1">
      <alignment horizontal="center"/>
      <protection hidden="1"/>
    </xf>
    <xf numFmtId="0" fontId="29" fillId="0" borderId="0" xfId="1" applyFont="1" applyFill="1" applyBorder="1" applyAlignment="1" applyProtection="1">
      <alignment vertical="center"/>
      <protection hidden="1"/>
    </xf>
    <xf numFmtId="171" fontId="36" fillId="0" borderId="54" xfId="1" applyNumberFormat="1" applyFont="1" applyFill="1" applyBorder="1" applyAlignment="1" applyProtection="1">
      <protection hidden="1"/>
    </xf>
    <xf numFmtId="0" fontId="35" fillId="0" borderId="38" xfId="7" applyNumberFormat="1" applyFont="1" applyFill="1" applyBorder="1" applyAlignment="1" applyProtection="1">
      <alignment vertical="center"/>
      <protection hidden="1"/>
    </xf>
    <xf numFmtId="0" fontId="35" fillId="0" borderId="35" xfId="7" applyFont="1" applyFill="1" applyBorder="1" applyAlignment="1" applyProtection="1">
      <alignment vertical="center"/>
      <protection hidden="1"/>
    </xf>
    <xf numFmtId="0" fontId="3" fillId="0" borderId="44" xfId="7" applyFont="1" applyFill="1" applyBorder="1" applyAlignment="1" applyProtection="1">
      <alignment horizontal="center" vertical="center"/>
      <protection hidden="1"/>
    </xf>
    <xf numFmtId="0" fontId="9" fillId="0" borderId="43" xfId="7" applyFont="1" applyFill="1" applyBorder="1" applyAlignment="1" applyProtection="1">
      <alignment horizontal="center" vertical="center" wrapText="1"/>
      <protection hidden="1"/>
    </xf>
    <xf numFmtId="0" fontId="3" fillId="0" borderId="43" xfId="7" applyFont="1" applyFill="1" applyBorder="1" applyAlignment="1" applyProtection="1">
      <alignment horizontal="center" vertical="center"/>
      <protection hidden="1"/>
    </xf>
    <xf numFmtId="0" fontId="8" fillId="0" borderId="43" xfId="7" applyFont="1" applyFill="1" applyBorder="1" applyAlignment="1" applyProtection="1">
      <alignment horizontal="center" vertical="center" wrapText="1"/>
      <protection hidden="1"/>
    </xf>
    <xf numFmtId="0" fontId="12" fillId="0" borderId="43" xfId="7" applyFont="1" applyFill="1" applyBorder="1" applyAlignment="1" applyProtection="1">
      <alignment horizontal="center" vertical="center" wrapText="1"/>
      <protection hidden="1"/>
    </xf>
    <xf numFmtId="0" fontId="29" fillId="0" borderId="43" xfId="7" applyFont="1" applyFill="1" applyBorder="1" applyAlignment="1" applyProtection="1">
      <alignment horizontal="center" vertical="center"/>
      <protection hidden="1"/>
    </xf>
    <xf numFmtId="0" fontId="3" fillId="0" borderId="43" xfId="7" applyFont="1" applyFill="1" applyBorder="1" applyAlignment="1" applyProtection="1">
      <alignment horizontal="center" vertical="center" wrapText="1"/>
      <protection hidden="1"/>
    </xf>
    <xf numFmtId="0" fontId="9" fillId="0" borderId="43" xfId="7" applyFont="1" applyFill="1" applyBorder="1" applyAlignment="1" applyProtection="1">
      <alignment horizontal="center" vertical="center"/>
      <protection hidden="1"/>
    </xf>
    <xf numFmtId="0" fontId="30" fillId="0" borderId="43" xfId="7" applyFont="1" applyFill="1" applyBorder="1" applyAlignment="1" applyProtection="1">
      <alignment horizontal="center" vertical="center" wrapText="1"/>
      <protection hidden="1"/>
    </xf>
    <xf numFmtId="0" fontId="30" fillId="0" borderId="45" xfId="7" applyFont="1" applyFill="1" applyBorder="1" applyAlignment="1" applyProtection="1">
      <alignment horizontal="center" vertical="center" wrapText="1"/>
      <protection hidden="1"/>
    </xf>
    <xf numFmtId="0" fontId="90" fillId="0" borderId="59" xfId="1" applyFont="1" applyFill="1" applyBorder="1" applyAlignment="1" applyProtection="1">
      <alignment vertical="center" wrapText="1"/>
      <protection hidden="1"/>
    </xf>
    <xf numFmtId="0" fontId="90" fillId="0" borderId="60" xfId="1" applyFont="1" applyFill="1" applyBorder="1" applyAlignment="1" applyProtection="1">
      <alignment vertical="center" wrapText="1"/>
      <protection hidden="1"/>
    </xf>
    <xf numFmtId="0" fontId="130" fillId="0" borderId="93" xfId="1" applyFont="1" applyFill="1" applyBorder="1" applyAlignment="1" applyProtection="1">
      <alignment horizontal="center"/>
      <protection hidden="1"/>
    </xf>
    <xf numFmtId="0" fontId="130" fillId="0" borderId="66" xfId="1" applyFont="1" applyFill="1" applyBorder="1" applyAlignment="1" applyProtection="1">
      <alignment horizontal="center"/>
      <protection hidden="1"/>
    </xf>
    <xf numFmtId="0" fontId="131" fillId="0" borderId="8" xfId="1" applyFont="1" applyBorder="1" applyAlignment="1" applyProtection="1">
      <alignment horizontal="right"/>
      <protection hidden="1"/>
    </xf>
    <xf numFmtId="1" fontId="12" fillId="11" borderId="4" xfId="0" applyNumberFormat="1" applyFont="1" applyFill="1" applyBorder="1" applyAlignment="1" applyProtection="1">
      <protection hidden="1"/>
    </xf>
    <xf numFmtId="1" fontId="12" fillId="2" borderId="4" xfId="0" applyNumberFormat="1" applyFont="1" applyFill="1" applyBorder="1" applyAlignment="1" applyProtection="1">
      <protection hidden="1"/>
    </xf>
    <xf numFmtId="1" fontId="12" fillId="0" borderId="4" xfId="0" applyNumberFormat="1" applyFont="1" applyBorder="1" applyAlignment="1" applyProtection="1">
      <protection hidden="1"/>
    </xf>
    <xf numFmtId="1" fontId="63" fillId="0" borderId="4" xfId="0" applyNumberFormat="1" applyFont="1" applyBorder="1" applyProtection="1">
      <protection hidden="1"/>
    </xf>
    <xf numFmtId="0" fontId="61" fillId="6" borderId="4" xfId="0" applyFont="1" applyFill="1" applyBorder="1" applyAlignment="1" applyProtection="1">
      <alignment horizontal="left" vertical="center"/>
      <protection hidden="1"/>
    </xf>
    <xf numFmtId="0" fontId="26" fillId="6" borderId="4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5" fillId="0" borderId="4" xfId="0" applyFont="1" applyBorder="1" applyProtection="1">
      <protection hidden="1"/>
    </xf>
    <xf numFmtId="167" fontId="15" fillId="0" borderId="5" xfId="0" applyNumberFormat="1" applyFont="1" applyBorder="1" applyAlignment="1" applyProtection="1">
      <alignment horizontal="right" vertical="center"/>
      <protection locked="0"/>
    </xf>
    <xf numFmtId="0" fontId="10" fillId="15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  <protection hidden="1"/>
    </xf>
    <xf numFmtId="1" fontId="3" fillId="20" borderId="4" xfId="0" applyNumberFormat="1" applyFont="1" applyFill="1" applyBorder="1" applyProtection="1">
      <protection hidden="1"/>
    </xf>
    <xf numFmtId="1" fontId="14" fillId="0" borderId="4" xfId="0" applyNumberFormat="1" applyFont="1" applyBorder="1" applyAlignment="1" applyProtection="1">
      <alignment horizontal="right" vertical="center" wrapText="1"/>
      <protection locked="0"/>
    </xf>
    <xf numFmtId="10" fontId="12" fillId="0" borderId="4" xfId="9" applyNumberFormat="1" applyFont="1" applyBorder="1" applyProtection="1">
      <protection hidden="1"/>
    </xf>
    <xf numFmtId="169" fontId="12" fillId="0" borderId="4" xfId="9" applyNumberFormat="1" applyFont="1" applyBorder="1" applyProtection="1">
      <protection hidden="1"/>
    </xf>
    <xf numFmtId="0" fontId="3" fillId="0" borderId="0" xfId="6" applyFont="1" applyFill="1" applyBorder="1" applyAlignment="1" applyProtection="1">
      <alignment vertical="center"/>
      <protection hidden="1"/>
    </xf>
    <xf numFmtId="169" fontId="3" fillId="0" borderId="4" xfId="0" applyNumberFormat="1" applyFont="1" applyBorder="1" applyProtection="1">
      <protection hidden="1"/>
    </xf>
    <xf numFmtId="10" fontId="3" fillId="0" borderId="4" xfId="0" applyNumberFormat="1" applyFont="1" applyBorder="1" applyProtection="1">
      <protection hidden="1"/>
    </xf>
    <xf numFmtId="169" fontId="3" fillId="0" borderId="4" xfId="10" applyNumberFormat="1" applyFont="1" applyBorder="1" applyProtection="1">
      <protection hidden="1"/>
    </xf>
    <xf numFmtId="0" fontId="9" fillId="0" borderId="4" xfId="0" applyFont="1" applyBorder="1" applyAlignment="1" applyProtection="1">
      <alignment vertical="center"/>
      <protection hidden="1"/>
    </xf>
    <xf numFmtId="165" fontId="11" fillId="0" borderId="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9" fillId="0" borderId="4" xfId="1" applyFont="1" applyBorder="1" applyProtection="1">
      <protection hidden="1"/>
    </xf>
    <xf numFmtId="0" fontId="10" fillId="0" borderId="4" xfId="0" applyFont="1" applyBorder="1" applyAlignment="1" applyProtection="1">
      <protection hidden="1"/>
    </xf>
    <xf numFmtId="0" fontId="9" fillId="0" borderId="4" xfId="1" applyFont="1" applyFill="1" applyBorder="1" applyProtection="1">
      <protection hidden="1"/>
    </xf>
    <xf numFmtId="0" fontId="10" fillId="0" borderId="4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9" fillId="0" borderId="58" xfId="6" applyFont="1" applyFill="1" applyBorder="1" applyAlignment="1" applyProtection="1">
      <alignment horizontal="left"/>
      <protection hidden="1"/>
    </xf>
    <xf numFmtId="0" fontId="3" fillId="0" borderId="0" xfId="6" applyFont="1" applyFill="1" applyBorder="1" applyAlignment="1" applyProtection="1">
      <alignment horizontal="left"/>
      <protection hidden="1"/>
    </xf>
    <xf numFmtId="0" fontId="6" fillId="0" borderId="0" xfId="6" applyBorder="1" applyAlignment="1" applyProtection="1">
      <protection hidden="1"/>
    </xf>
    <xf numFmtId="0" fontId="7" fillId="0" borderId="4" xfId="0" applyFont="1" applyBorder="1" applyAlignment="1" applyProtection="1">
      <alignment horizontal="right" vertical="center"/>
      <protection hidden="1"/>
    </xf>
    <xf numFmtId="166" fontId="9" fillId="0" borderId="4" xfId="0" applyNumberFormat="1" applyFont="1" applyBorder="1" applyAlignment="1" applyProtection="1">
      <alignment horizontal="right" vertical="center"/>
      <protection hidden="1"/>
    </xf>
    <xf numFmtId="0" fontId="12" fillId="20" borderId="4" xfId="0" quotePrefix="1" applyFont="1" applyFill="1" applyBorder="1" applyAlignment="1" applyProtection="1">
      <alignment horizontal="left" vertical="center"/>
      <protection hidden="1"/>
    </xf>
    <xf numFmtId="0" fontId="9" fillId="0" borderId="5" xfId="6" applyFont="1" applyFill="1" applyBorder="1" applyAlignment="1" applyProtection="1">
      <alignment horizontal="left"/>
      <protection hidden="1"/>
    </xf>
    <xf numFmtId="1" fontId="47" fillId="18" borderId="1" xfId="6" applyNumberFormat="1" applyFont="1" applyFill="1" applyBorder="1" applyAlignment="1" applyProtection="1">
      <alignment horizontal="center" vertical="center"/>
      <protection hidden="1"/>
    </xf>
    <xf numFmtId="0" fontId="26" fillId="0" borderId="0" xfId="6" applyFont="1" applyBorder="1" applyAlignment="1" applyProtection="1">
      <protection hidden="1"/>
    </xf>
    <xf numFmtId="0" fontId="6" fillId="0" borderId="0" xfId="6" applyAlignment="1" applyProtection="1"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20" fillId="0" borderId="1" xfId="6" applyFont="1" applyFill="1" applyBorder="1" applyAlignment="1" applyProtection="1">
      <protection hidden="1"/>
    </xf>
    <xf numFmtId="0" fontId="23" fillId="0" borderId="1" xfId="6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Protection="1"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69" fontId="12" fillId="0" borderId="1" xfId="9" applyNumberFormat="1" applyFont="1" applyBorder="1" applyProtection="1">
      <protection hidden="1"/>
    </xf>
    <xf numFmtId="0" fontId="29" fillId="12" borderId="4" xfId="0" applyFont="1" applyFill="1" applyBorder="1" applyAlignment="1" applyProtection="1">
      <alignment horizontal="center" vertical="center"/>
      <protection hidden="1"/>
    </xf>
    <xf numFmtId="0" fontId="29" fillId="12" borderId="4" xfId="0" applyFont="1" applyFill="1" applyBorder="1" applyAlignment="1">
      <alignment horizontal="center" vertical="center"/>
    </xf>
    <xf numFmtId="0" fontId="29" fillId="0" borderId="4" xfId="0" applyFont="1" applyBorder="1" applyAlignment="1" applyProtection="1">
      <alignment horizontal="center" vertical="center"/>
      <protection locked="0"/>
    </xf>
    <xf numFmtId="0" fontId="29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hidden="1"/>
    </xf>
    <xf numFmtId="0" fontId="53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0" fillId="0" borderId="0" xfId="0" applyFill="1" applyBorder="1" applyAlignment="1"/>
    <xf numFmtId="1" fontId="0" fillId="0" borderId="0" xfId="0" applyNumberFormat="1" applyProtection="1">
      <protection hidden="1"/>
    </xf>
    <xf numFmtId="1" fontId="3" fillId="0" borderId="8" xfId="0" applyNumberFormat="1" applyFont="1" applyBorder="1" applyAlignment="1" applyProtection="1">
      <alignment horizontal="right" vertical="center" wrapText="1"/>
      <protection locked="0"/>
    </xf>
    <xf numFmtId="0" fontId="3" fillId="6" borderId="22" xfId="0" applyFont="1" applyFill="1" applyBorder="1" applyAlignment="1" applyProtection="1">
      <alignment vertical="center"/>
      <protection hidden="1"/>
    </xf>
    <xf numFmtId="0" fontId="3" fillId="2" borderId="22" xfId="0" applyFont="1" applyFill="1" applyBorder="1" applyAlignment="1" applyProtection="1">
      <alignment horizontal="left" vertical="center"/>
      <protection hidden="1"/>
    </xf>
    <xf numFmtId="0" fontId="15" fillId="2" borderId="22" xfId="0" applyFont="1" applyFill="1" applyBorder="1" applyAlignment="1" applyProtection="1">
      <alignment vertical="center"/>
      <protection hidden="1"/>
    </xf>
    <xf numFmtId="0" fontId="3" fillId="6" borderId="8" xfId="0" applyFont="1" applyFill="1" applyBorder="1" applyAlignment="1" applyProtection="1">
      <alignment vertical="center"/>
      <protection hidden="1"/>
    </xf>
    <xf numFmtId="0" fontId="3" fillId="2" borderId="8" xfId="0" applyFont="1" applyFill="1" applyBorder="1" applyAlignment="1" applyProtection="1">
      <alignment horizontal="left" vertical="center"/>
      <protection hidden="1"/>
    </xf>
    <xf numFmtId="0" fontId="15" fillId="2" borderId="8" xfId="0" applyFont="1" applyFill="1" applyBorder="1" applyAlignment="1" applyProtection="1">
      <alignment vertical="center"/>
      <protection hidden="1"/>
    </xf>
    <xf numFmtId="0" fontId="0" fillId="2" borderId="39" xfId="0" applyFont="1" applyFill="1" applyBorder="1" applyProtection="1">
      <protection hidden="1"/>
    </xf>
    <xf numFmtId="0" fontId="29" fillId="2" borderId="8" xfId="0" applyFont="1" applyFill="1" applyBorder="1" applyAlignment="1" applyProtection="1">
      <alignment horizontal="right" vertical="center"/>
      <protection hidden="1"/>
    </xf>
    <xf numFmtId="168" fontId="24" fillId="0" borderId="136" xfId="1" applyNumberFormat="1" applyFont="1" applyFill="1" applyBorder="1" applyAlignment="1" applyProtection="1">
      <alignment horizontal="center"/>
      <protection hidden="1"/>
    </xf>
    <xf numFmtId="42" fontId="100" fillId="0" borderId="32" xfId="1" applyNumberFormat="1" applyFont="1" applyFill="1" applyBorder="1" applyAlignment="1" applyProtection="1">
      <alignment vertical="center"/>
      <protection hidden="1"/>
    </xf>
    <xf numFmtId="167" fontId="24" fillId="21" borderId="4" xfId="0" applyNumberFormat="1" applyFont="1" applyFill="1" applyBorder="1" applyAlignment="1" applyProtection="1">
      <alignment horizontal="right"/>
      <protection hidden="1"/>
    </xf>
    <xf numFmtId="1" fontId="12" fillId="21" borderId="4" xfId="0" applyNumberFormat="1" applyFont="1" applyFill="1" applyBorder="1" applyAlignment="1" applyProtection="1">
      <alignment horizontal="right" vertical="center"/>
      <protection hidden="1"/>
    </xf>
    <xf numFmtId="173" fontId="12" fillId="21" borderId="4" xfId="0" applyNumberFormat="1" applyFont="1" applyFill="1" applyBorder="1" applyAlignment="1" applyProtection="1">
      <alignment horizontal="right" vertical="center"/>
      <protection hidden="1"/>
    </xf>
    <xf numFmtId="0" fontId="9" fillId="21" borderId="4" xfId="0" applyFont="1" applyFill="1" applyBorder="1" applyAlignment="1" applyProtection="1">
      <alignment horizontal="right" vertical="center"/>
      <protection hidden="1"/>
    </xf>
    <xf numFmtId="1" fontId="9" fillId="21" borderId="4" xfId="0" applyNumberFormat="1" applyFont="1" applyFill="1" applyBorder="1" applyAlignment="1" applyProtection="1">
      <alignment horizontal="right" vertical="center"/>
      <protection hidden="1"/>
    </xf>
    <xf numFmtId="0" fontId="3" fillId="9" borderId="4" xfId="0" applyFont="1" applyFill="1" applyBorder="1" applyAlignment="1" applyProtection="1">
      <alignment horizontal="center" vertical="center"/>
      <protection hidden="1"/>
    </xf>
    <xf numFmtId="0" fontId="12" fillId="9" borderId="4" xfId="0" applyFont="1" applyFill="1" applyBorder="1" applyAlignment="1" applyProtection="1">
      <alignment horizontal="center" vertical="center" wrapText="1"/>
      <protection hidden="1"/>
    </xf>
    <xf numFmtId="0" fontId="75" fillId="2" borderId="22" xfId="0" applyFont="1" applyFill="1" applyBorder="1" applyAlignment="1" applyProtection="1">
      <alignment horizontal="left"/>
      <protection hidden="1"/>
    </xf>
    <xf numFmtId="167" fontId="24" fillId="20" borderId="4" xfId="0" applyNumberFormat="1" applyFont="1" applyFill="1" applyBorder="1" applyAlignment="1" applyProtection="1">
      <alignment horizontal="right"/>
      <protection hidden="1"/>
    </xf>
    <xf numFmtId="1" fontId="12" fillId="20" borderId="4" xfId="0" applyNumberFormat="1" applyFont="1" applyFill="1" applyBorder="1" applyAlignment="1" applyProtection="1">
      <alignment horizontal="right" vertical="center"/>
      <protection hidden="1"/>
    </xf>
    <xf numFmtId="173" fontId="12" fillId="20" borderId="4" xfId="0" applyNumberFormat="1" applyFont="1" applyFill="1" applyBorder="1" applyAlignment="1" applyProtection="1">
      <alignment horizontal="right" vertical="center"/>
      <protection hidden="1"/>
    </xf>
    <xf numFmtId="0" fontId="9" fillId="20" borderId="4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33" fillId="0" borderId="0" xfId="0" applyFont="1" applyFill="1" applyBorder="1" applyProtection="1">
      <protection hidden="1"/>
    </xf>
    <xf numFmtId="0" fontId="9" fillId="24" borderId="5" xfId="0" applyFont="1" applyFill="1" applyBorder="1" applyProtection="1">
      <protection hidden="1"/>
    </xf>
    <xf numFmtId="0" fontId="133" fillId="24" borderId="5" xfId="0" applyFont="1" applyFill="1" applyBorder="1" applyProtection="1">
      <protection hidden="1"/>
    </xf>
    <xf numFmtId="0" fontId="9" fillId="24" borderId="5" xfId="0" applyFont="1" applyFill="1" applyBorder="1" applyAlignment="1" applyProtection="1">
      <alignment horizontal="left"/>
      <protection hidden="1"/>
    </xf>
    <xf numFmtId="0" fontId="29" fillId="24" borderId="4" xfId="0" applyFont="1" applyFill="1" applyBorder="1" applyProtection="1">
      <protection hidden="1"/>
    </xf>
    <xf numFmtId="1" fontId="29" fillId="24" borderId="4" xfId="0" applyNumberFormat="1" applyFont="1" applyFill="1" applyBorder="1" applyProtection="1">
      <protection hidden="1"/>
    </xf>
    <xf numFmtId="0" fontId="29" fillId="24" borderId="5" xfId="0" applyFont="1" applyFill="1" applyBorder="1" applyProtection="1">
      <protection hidden="1"/>
    </xf>
    <xf numFmtId="1" fontId="29" fillId="24" borderId="5" xfId="0" applyNumberFormat="1" applyFont="1" applyFill="1" applyBorder="1" applyProtection="1">
      <protection hidden="1"/>
    </xf>
    <xf numFmtId="0" fontId="3" fillId="24" borderId="5" xfId="0" applyFont="1" applyFill="1" applyBorder="1" applyAlignment="1" applyProtection="1">
      <alignment horizontal="right"/>
      <protection hidden="1"/>
    </xf>
    <xf numFmtId="0" fontId="0" fillId="24" borderId="5" xfId="0" applyFont="1" applyFill="1" applyBorder="1" applyAlignment="1" applyProtection="1">
      <alignment horizontal="right"/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right" vertical="center"/>
      <protection hidden="1"/>
    </xf>
    <xf numFmtId="1" fontId="29" fillId="0" borderId="4" xfId="0" applyNumberFormat="1" applyFont="1" applyBorder="1" applyProtection="1">
      <protection hidden="1"/>
    </xf>
    <xf numFmtId="167" fontId="12" fillId="6" borderId="4" xfId="0" applyNumberFormat="1" applyFont="1" applyFill="1" applyBorder="1" applyAlignment="1" applyProtection="1">
      <alignment horizontal="right" vertical="center"/>
      <protection hidden="1"/>
    </xf>
    <xf numFmtId="0" fontId="29" fillId="6" borderId="4" xfId="0" applyFont="1" applyFill="1" applyBorder="1" applyAlignment="1" applyProtection="1">
      <alignment horizontal="right" vertical="center"/>
      <protection hidden="1"/>
    </xf>
    <xf numFmtId="167" fontId="24" fillId="22" borderId="4" xfId="0" applyNumberFormat="1" applyFont="1" applyFill="1" applyBorder="1" applyAlignment="1" applyProtection="1">
      <alignment horizontal="right"/>
      <protection hidden="1"/>
    </xf>
    <xf numFmtId="1" fontId="12" fillId="22" borderId="4" xfId="0" applyNumberFormat="1" applyFont="1" applyFill="1" applyBorder="1" applyAlignment="1" applyProtection="1">
      <alignment horizontal="right" vertical="center"/>
      <protection hidden="1"/>
    </xf>
    <xf numFmtId="173" fontId="12" fillId="22" borderId="4" xfId="0" applyNumberFormat="1" applyFont="1" applyFill="1" applyBorder="1" applyAlignment="1" applyProtection="1">
      <alignment horizontal="right" vertical="center"/>
      <protection hidden="1"/>
    </xf>
    <xf numFmtId="1" fontId="9" fillId="22" borderId="4" xfId="0" applyNumberFormat="1" applyFont="1" applyFill="1" applyBorder="1" applyAlignment="1" applyProtection="1">
      <alignment horizontal="right" vertical="center"/>
      <protection hidden="1"/>
    </xf>
    <xf numFmtId="0" fontId="61" fillId="3" borderId="4" xfId="0" applyFont="1" applyFill="1" applyBorder="1" applyAlignment="1" applyProtection="1">
      <alignment horizontal="center" vertical="center"/>
      <protection hidden="1"/>
    </xf>
    <xf numFmtId="0" fontId="133" fillId="2" borderId="5" xfId="0" applyFont="1" applyFill="1" applyBorder="1" applyProtection="1">
      <protection hidden="1"/>
    </xf>
    <xf numFmtId="1" fontId="3" fillId="2" borderId="5" xfId="0" applyNumberFormat="1" applyFont="1" applyFill="1" applyBorder="1" applyAlignment="1" applyProtection="1">
      <alignment horizontal="right"/>
      <protection hidden="1"/>
    </xf>
    <xf numFmtId="0" fontId="0" fillId="2" borderId="5" xfId="0" applyFont="1" applyFill="1" applyBorder="1" applyAlignment="1" applyProtection="1">
      <alignment horizontal="right"/>
      <protection hidden="1"/>
    </xf>
    <xf numFmtId="0" fontId="3" fillId="2" borderId="5" xfId="0" applyFont="1" applyFill="1" applyBorder="1" applyAlignment="1" applyProtection="1">
      <alignment horizontal="right"/>
      <protection hidden="1"/>
    </xf>
    <xf numFmtId="0" fontId="9" fillId="11" borderId="5" xfId="0" applyFont="1" applyFill="1" applyBorder="1" applyProtection="1">
      <protection hidden="1"/>
    </xf>
    <xf numFmtId="0" fontId="3" fillId="11" borderId="5" xfId="0" applyFont="1" applyFill="1" applyBorder="1" applyAlignment="1" applyProtection="1">
      <alignment horizontal="right"/>
      <protection hidden="1"/>
    </xf>
    <xf numFmtId="0" fontId="9" fillId="12" borderId="5" xfId="0" applyFont="1" applyFill="1" applyBorder="1" applyAlignment="1" applyProtection="1">
      <alignment vertical="center"/>
      <protection hidden="1"/>
    </xf>
    <xf numFmtId="1" fontId="3" fillId="12" borderId="5" xfId="0" applyNumberFormat="1" applyFont="1" applyFill="1" applyBorder="1" applyAlignment="1" applyProtection="1">
      <alignment horizontal="right"/>
      <protection hidden="1"/>
    </xf>
    <xf numFmtId="0" fontId="3" fillId="12" borderId="5" xfId="0" applyFont="1" applyFill="1" applyBorder="1" applyAlignment="1" applyProtection="1">
      <alignment horizontal="right"/>
      <protection hidden="1"/>
    </xf>
    <xf numFmtId="0" fontId="12" fillId="12" borderId="5" xfId="0" applyFont="1" applyFill="1" applyBorder="1" applyAlignment="1" applyProtection="1">
      <alignment vertical="center"/>
      <protection hidden="1"/>
    </xf>
    <xf numFmtId="0" fontId="3" fillId="24" borderId="5" xfId="0" applyFont="1" applyFill="1" applyBorder="1" applyAlignment="1" applyProtection="1">
      <alignment horizontal="left"/>
      <protection hidden="1"/>
    </xf>
    <xf numFmtId="0" fontId="3" fillId="12" borderId="5" xfId="0" applyFont="1" applyFill="1" applyBorder="1" applyAlignment="1" applyProtection="1">
      <alignment horizontal="left"/>
      <protection hidden="1"/>
    </xf>
    <xf numFmtId="0" fontId="88" fillId="9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72" fillId="0" borderId="0" xfId="0" applyFont="1" applyFill="1" applyBorder="1" applyAlignment="1" applyProtection="1">
      <alignment vertical="center"/>
      <protection hidden="1"/>
    </xf>
    <xf numFmtId="0" fontId="75" fillId="0" borderId="0" xfId="0" applyFont="1" applyFill="1" applyBorder="1" applyAlignment="1" applyProtection="1">
      <alignment vertical="center" wrapText="1"/>
      <protection hidden="1"/>
    </xf>
    <xf numFmtId="0" fontId="135" fillId="0" borderId="0" xfId="0" applyFont="1" applyFill="1" applyBorder="1" applyAlignment="1" applyProtection="1">
      <alignment vertical="center"/>
      <protection hidden="1"/>
    </xf>
    <xf numFmtId="0" fontId="123" fillId="0" borderId="0" xfId="0" applyFont="1" applyFill="1" applyBorder="1" applyAlignment="1" applyProtection="1">
      <alignment vertical="center"/>
      <protection hidden="1"/>
    </xf>
    <xf numFmtId="0" fontId="28" fillId="25" borderId="5" xfId="0" applyFont="1" applyFill="1" applyBorder="1" applyAlignment="1" applyProtection="1">
      <alignment horizontal="right"/>
      <protection hidden="1"/>
    </xf>
    <xf numFmtId="1" fontId="28" fillId="25" borderId="5" xfId="0" applyNumberFormat="1" applyFont="1" applyFill="1" applyBorder="1" applyAlignment="1" applyProtection="1">
      <alignment horizontal="right"/>
      <protection hidden="1"/>
    </xf>
    <xf numFmtId="0" fontId="134" fillId="6" borderId="5" xfId="0" applyFont="1" applyFill="1" applyBorder="1" applyAlignment="1" applyProtection="1">
      <alignment horizontal="center" vertical="center" wrapText="1"/>
      <protection hidden="1"/>
    </xf>
    <xf numFmtId="1" fontId="8" fillId="0" borderId="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" fontId="8" fillId="0" borderId="4" xfId="0" applyNumberFormat="1" applyFont="1" applyBorder="1" applyAlignment="1" applyProtection="1">
      <alignment horizontal="center" vertical="center" wrapText="1"/>
      <protection hidden="1"/>
    </xf>
    <xf numFmtId="0" fontId="3" fillId="20" borderId="4" xfId="0" applyFont="1" applyFill="1" applyBorder="1" applyAlignment="1" applyProtection="1">
      <alignment horizontal="right" vertical="center"/>
      <protection hidden="1"/>
    </xf>
    <xf numFmtId="0" fontId="3" fillId="21" borderId="4" xfId="0" applyFont="1" applyFill="1" applyBorder="1" applyAlignment="1" applyProtection="1">
      <alignment horizontal="right" vertical="center"/>
      <protection hidden="1"/>
    </xf>
    <xf numFmtId="1" fontId="12" fillId="0" borderId="4" xfId="0" applyNumberFormat="1" applyFont="1" applyBorder="1" applyAlignment="1" applyProtection="1">
      <alignment horizontal="center" vertical="center" wrapText="1"/>
      <protection hidden="1"/>
    </xf>
    <xf numFmtId="0" fontId="3" fillId="26" borderId="4" xfId="0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3" fillId="14" borderId="149" xfId="0" applyFont="1" applyFill="1" applyBorder="1" applyAlignment="1" applyProtection="1">
      <alignment horizontal="center" vertical="center"/>
      <protection hidden="1"/>
    </xf>
    <xf numFmtId="0" fontId="29" fillId="14" borderId="150" xfId="0" applyFont="1" applyFill="1" applyBorder="1" applyAlignment="1" applyProtection="1">
      <alignment horizontal="center" vertical="center"/>
      <protection hidden="1"/>
    </xf>
    <xf numFmtId="0" fontId="29" fillId="14" borderId="151" xfId="0" applyFont="1" applyFill="1" applyBorder="1" applyAlignment="1" applyProtection="1">
      <alignment horizontal="center" vertical="center"/>
      <protection hidden="1"/>
    </xf>
    <xf numFmtId="0" fontId="29" fillId="24" borderId="153" xfId="0" applyFont="1" applyFill="1" applyBorder="1" applyProtection="1">
      <protection hidden="1"/>
    </xf>
    <xf numFmtId="0" fontId="29" fillId="24" borderId="155" xfId="0" applyFont="1" applyFill="1" applyBorder="1" applyProtection="1">
      <protection hidden="1"/>
    </xf>
    <xf numFmtId="0" fontId="29" fillId="24" borderId="156" xfId="0" applyFont="1" applyFill="1" applyBorder="1" applyProtection="1">
      <protection hidden="1"/>
    </xf>
    <xf numFmtId="0" fontId="12" fillId="14" borderId="157" xfId="0" applyFont="1" applyFill="1" applyBorder="1" applyAlignment="1" applyProtection="1">
      <alignment horizontal="center" vertical="center"/>
      <protection hidden="1"/>
    </xf>
    <xf numFmtId="0" fontId="3" fillId="14" borderId="150" xfId="0" applyFont="1" applyFill="1" applyBorder="1" applyAlignment="1" applyProtection="1">
      <alignment horizontal="center" vertical="center"/>
      <protection hidden="1"/>
    </xf>
    <xf numFmtId="0" fontId="29" fillId="14" borderId="158" xfId="0" applyFont="1" applyFill="1" applyBorder="1" applyAlignment="1" applyProtection="1">
      <alignment horizontal="center" vertical="center"/>
      <protection hidden="1"/>
    </xf>
    <xf numFmtId="0" fontId="29" fillId="24" borderId="160" xfId="0" applyFont="1" applyFill="1" applyBorder="1" applyProtection="1">
      <protection hidden="1"/>
    </xf>
    <xf numFmtId="0" fontId="29" fillId="24" borderId="162" xfId="0" applyFont="1" applyFill="1" applyBorder="1" applyProtection="1">
      <protection hidden="1"/>
    </xf>
    <xf numFmtId="0" fontId="29" fillId="24" borderId="163" xfId="0" applyFont="1" applyFill="1" applyBorder="1" applyProtection="1">
      <protection hidden="1"/>
    </xf>
    <xf numFmtId="0" fontId="28" fillId="25" borderId="159" xfId="0" applyFont="1" applyFill="1" applyBorder="1" applyAlignment="1" applyProtection="1">
      <alignment horizontal="right"/>
      <protection hidden="1"/>
    </xf>
    <xf numFmtId="0" fontId="28" fillId="25" borderId="160" xfId="0" applyFont="1" applyFill="1" applyBorder="1" applyAlignment="1" applyProtection="1">
      <alignment horizontal="right"/>
      <protection hidden="1"/>
    </xf>
    <xf numFmtId="1" fontId="28" fillId="25" borderId="160" xfId="0" applyNumberFormat="1" applyFont="1" applyFill="1" applyBorder="1" applyAlignment="1" applyProtection="1">
      <alignment horizontal="right"/>
      <protection hidden="1"/>
    </xf>
    <xf numFmtId="0" fontId="28" fillId="14" borderId="163" xfId="0" applyFont="1" applyFill="1" applyBorder="1" applyAlignment="1" applyProtection="1">
      <alignment horizontal="right"/>
      <protection hidden="1"/>
    </xf>
    <xf numFmtId="0" fontId="75" fillId="2" borderId="181" xfId="0" applyFont="1" applyFill="1" applyBorder="1" applyAlignment="1" applyProtection="1">
      <alignment horizontal="left"/>
      <protection hidden="1"/>
    </xf>
    <xf numFmtId="0" fontId="29" fillId="2" borderId="182" xfId="0" applyFont="1" applyFill="1" applyBorder="1" applyAlignment="1" applyProtection="1">
      <alignment horizontal="right" vertical="center"/>
      <protection hidden="1"/>
    </xf>
    <xf numFmtId="0" fontId="72" fillId="0" borderId="186" xfId="0" applyFont="1" applyBorder="1" applyAlignment="1" applyProtection="1">
      <alignment horizontal="center" vertical="center"/>
      <protection hidden="1"/>
    </xf>
    <xf numFmtId="1" fontId="0" fillId="0" borderId="140" xfId="0" applyNumberFormat="1" applyBorder="1" applyProtection="1">
      <protection hidden="1"/>
    </xf>
    <xf numFmtId="1" fontId="0" fillId="0" borderId="142" xfId="0" applyNumberFormat="1" applyBorder="1" applyProtection="1">
      <protection hidden="1"/>
    </xf>
    <xf numFmtId="0" fontId="0" fillId="0" borderId="143" xfId="0" applyBorder="1" applyProtection="1">
      <protection hidden="1"/>
    </xf>
    <xf numFmtId="0" fontId="0" fillId="0" borderId="144" xfId="0" applyBorder="1" applyProtection="1">
      <protection hidden="1"/>
    </xf>
    <xf numFmtId="0" fontId="17" fillId="0" borderId="143" xfId="0" applyFont="1" applyBorder="1" applyAlignment="1" applyProtection="1">
      <alignment vertical="center" wrapText="1"/>
      <protection hidden="1"/>
    </xf>
    <xf numFmtId="0" fontId="17" fillId="0" borderId="144" xfId="0" applyFont="1" applyBorder="1" applyAlignment="1" applyProtection="1">
      <alignment vertical="center" wrapText="1"/>
      <protection hidden="1"/>
    </xf>
    <xf numFmtId="0" fontId="53" fillId="0" borderId="143" xfId="0" applyFont="1" applyFill="1" applyBorder="1" applyAlignment="1" applyProtection="1">
      <alignment vertical="center"/>
      <protection hidden="1"/>
    </xf>
    <xf numFmtId="0" fontId="53" fillId="0" borderId="144" xfId="0" applyFont="1" applyFill="1" applyBorder="1" applyAlignment="1" applyProtection="1">
      <alignment vertical="center"/>
      <protection hidden="1"/>
    </xf>
    <xf numFmtId="0" fontId="0" fillId="0" borderId="145" xfId="0" applyBorder="1" applyProtection="1">
      <protection hidden="1"/>
    </xf>
    <xf numFmtId="0" fontId="0" fillId="0" borderId="147" xfId="0" applyBorder="1" applyProtection="1">
      <protection hidden="1"/>
    </xf>
    <xf numFmtId="0" fontId="0" fillId="0" borderId="48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47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48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47" xfId="0" applyFont="1" applyFill="1" applyBorder="1" applyAlignment="1" applyProtection="1">
      <alignment horizontal="center" vertical="top" wrapText="1"/>
      <protection hidden="1"/>
    </xf>
    <xf numFmtId="0" fontId="0" fillId="0" borderId="48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0" fillId="0" borderId="48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166" fontId="0" fillId="0" borderId="0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 applyProtection="1">
      <alignment horizontal="right" vertical="top" wrapText="1"/>
      <protection hidden="1"/>
    </xf>
    <xf numFmtId="0" fontId="0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46" xfId="0" applyFont="1" applyFill="1" applyBorder="1" applyAlignment="1" applyProtection="1">
      <alignment horizontal="center" vertical="center" wrapText="1"/>
      <protection hidden="1"/>
    </xf>
    <xf numFmtId="0" fontId="0" fillId="0" borderId="23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122" xfId="0" applyFont="1" applyFill="1" applyBorder="1" applyAlignment="1" applyProtection="1">
      <alignment horizontal="center" vertical="center" wrapText="1"/>
      <protection hidden="1"/>
    </xf>
    <xf numFmtId="0" fontId="0" fillId="0" borderId="66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65" xfId="0" applyFont="1" applyFill="1" applyBorder="1" applyAlignment="1" applyProtection="1">
      <alignment horizontal="center" vertical="center" wrapText="1"/>
      <protection hidden="1"/>
    </xf>
    <xf numFmtId="0" fontId="0" fillId="0" borderId="48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4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top"/>
      <protection hidden="1"/>
    </xf>
    <xf numFmtId="0" fontId="0" fillId="0" borderId="48" xfId="0" applyFont="1" applyFill="1" applyBorder="1" applyProtection="1">
      <protection hidden="1"/>
    </xf>
    <xf numFmtId="0" fontId="0" fillId="0" borderId="47" xfId="0" applyFont="1" applyFill="1" applyBorder="1" applyProtection="1">
      <protection hidden="1"/>
    </xf>
    <xf numFmtId="0" fontId="0" fillId="0" borderId="25" xfId="0" applyFont="1" applyFill="1" applyBorder="1" applyProtection="1">
      <protection hidden="1"/>
    </xf>
    <xf numFmtId="0" fontId="0" fillId="0" borderId="46" xfId="0" applyFont="1" applyFill="1" applyBorder="1" applyProtection="1">
      <protection hidden="1"/>
    </xf>
    <xf numFmtId="0" fontId="0" fillId="0" borderId="23" xfId="0" applyFont="1" applyFill="1" applyBorder="1" applyProtection="1">
      <protection hidden="1"/>
    </xf>
    <xf numFmtId="3" fontId="3" fillId="0" borderId="19" xfId="0" applyNumberFormat="1" applyFont="1" applyFill="1" applyBorder="1" applyAlignment="1" applyProtection="1">
      <alignment vertical="center" wrapText="1"/>
      <protection hidden="1"/>
    </xf>
    <xf numFmtId="3" fontId="3" fillId="0" borderId="39" xfId="0" applyNumberFormat="1" applyFont="1" applyFill="1" applyBorder="1" applyAlignment="1" applyProtection="1">
      <alignment vertical="center" wrapText="1"/>
      <protection hidden="1"/>
    </xf>
    <xf numFmtId="0" fontId="29" fillId="0" borderId="93" xfId="0" applyFont="1" applyFill="1" applyBorder="1" applyAlignment="1" applyProtection="1">
      <alignment horizontal="center" vertical="center" wrapText="1"/>
      <protection hidden="1"/>
    </xf>
    <xf numFmtId="0" fontId="29" fillId="0" borderId="189" xfId="0" applyFont="1" applyFill="1" applyBorder="1" applyAlignment="1" applyProtection="1">
      <alignment horizontal="center" vertical="center" wrapText="1"/>
      <protection hidden="1"/>
    </xf>
    <xf numFmtId="0" fontId="12" fillId="6" borderId="8" xfId="0" applyFont="1" applyFill="1" applyBorder="1" applyAlignment="1" applyProtection="1">
      <alignment vertical="center"/>
      <protection hidden="1"/>
    </xf>
    <xf numFmtId="0" fontId="8" fillId="11" borderId="4" xfId="0" applyFont="1" applyFill="1" applyBorder="1" applyAlignment="1" applyProtection="1">
      <alignment horizontal="left" vertical="center"/>
      <protection hidden="1"/>
    </xf>
    <xf numFmtId="0" fontId="15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hidden="1"/>
    </xf>
    <xf numFmtId="0" fontId="149" fillId="0" borderId="38" xfId="1" applyFont="1" applyBorder="1" applyAlignment="1" applyProtection="1">
      <alignment horizontal="center" vertical="center"/>
      <protection hidden="1"/>
    </xf>
    <xf numFmtId="0" fontId="149" fillId="0" borderId="37" xfId="1" applyFont="1" applyBorder="1" applyAlignment="1" applyProtection="1">
      <alignment horizontal="center" vertical="center"/>
      <protection hidden="1"/>
    </xf>
    <xf numFmtId="0" fontId="149" fillId="0" borderId="36" xfId="1" applyFont="1" applyBorder="1" applyAlignment="1" applyProtection="1">
      <alignment horizontal="center" vertical="center"/>
      <protection hidden="1"/>
    </xf>
    <xf numFmtId="0" fontId="84" fillId="0" borderId="48" xfId="1" applyFont="1" applyBorder="1" applyAlignment="1" applyProtection="1">
      <alignment vertical="center"/>
      <protection hidden="1"/>
    </xf>
    <xf numFmtId="0" fontId="84" fillId="0" borderId="47" xfId="1" applyFont="1" applyBorder="1" applyAlignment="1" applyProtection="1">
      <alignment vertical="center"/>
      <protection hidden="1"/>
    </xf>
    <xf numFmtId="0" fontId="84" fillId="0" borderId="0" xfId="1" applyFont="1" applyBorder="1" applyAlignment="1" applyProtection="1">
      <alignment vertical="center"/>
      <protection hidden="1"/>
    </xf>
    <xf numFmtId="0" fontId="36" fillId="0" borderId="0" xfId="1" applyFont="1" applyBorder="1" applyAlignment="1" applyProtection="1">
      <alignment horizontal="center" vertical="center"/>
      <protection hidden="1"/>
    </xf>
    <xf numFmtId="0" fontId="9" fillId="0" borderId="48" xfId="1" applyFont="1" applyBorder="1" applyAlignment="1" applyProtection="1">
      <alignment horizontal="center" vertical="center" wrapText="1"/>
      <protection hidden="1"/>
    </xf>
    <xf numFmtId="0" fontId="9" fillId="0" borderId="0" xfId="1" applyFont="1" applyBorder="1" applyAlignment="1" applyProtection="1">
      <alignment horizontal="center" vertical="center" wrapText="1"/>
      <protection hidden="1"/>
    </xf>
    <xf numFmtId="0" fontId="9" fillId="0" borderId="0" xfId="1" applyFont="1" applyAlignment="1" applyProtection="1">
      <alignment horizontal="center" vertical="center" wrapText="1"/>
      <protection hidden="1"/>
    </xf>
    <xf numFmtId="0" fontId="9" fillId="0" borderId="47" xfId="1" applyFont="1" applyBorder="1" applyAlignment="1" applyProtection="1">
      <alignment horizontal="center" vertical="center" wrapText="1"/>
      <protection hidden="1"/>
    </xf>
    <xf numFmtId="0" fontId="84" fillId="0" borderId="25" xfId="1" applyFont="1" applyBorder="1" applyAlignment="1" applyProtection="1">
      <alignment vertical="center"/>
      <protection hidden="1"/>
    </xf>
    <xf numFmtId="0" fontId="84" fillId="0" borderId="46" xfId="1" applyFont="1" applyBorder="1" applyAlignment="1" applyProtection="1">
      <alignment vertical="center"/>
      <protection hidden="1"/>
    </xf>
    <xf numFmtId="0" fontId="84" fillId="0" borderId="23" xfId="1" applyFont="1" applyBorder="1" applyAlignment="1" applyProtection="1">
      <alignment vertical="center"/>
      <protection hidden="1"/>
    </xf>
    <xf numFmtId="0" fontId="26" fillId="0" borderId="0" xfId="6" applyFont="1" applyAlignment="1" applyProtection="1">
      <protection hidden="1"/>
    </xf>
    <xf numFmtId="0" fontId="12" fillId="11" borderId="4" xfId="0" applyFont="1" applyFill="1" applyBorder="1" applyAlignment="1" applyProtection="1">
      <alignment horizontal="left" vertical="center" wrapText="1"/>
      <protection hidden="1"/>
    </xf>
    <xf numFmtId="0" fontId="12" fillId="11" borderId="4" xfId="0" applyFont="1" applyFill="1" applyBorder="1" applyAlignment="1" applyProtection="1">
      <alignment horizontal="left" vertical="center"/>
      <protection hidden="1"/>
    </xf>
    <xf numFmtId="0" fontId="0" fillId="0" borderId="0" xfId="1" applyFont="1"/>
    <xf numFmtId="0" fontId="153" fillId="0" borderId="48" xfId="1" applyFont="1" applyBorder="1" applyAlignment="1" applyProtection="1">
      <alignment vertical="center" wrapText="1"/>
      <protection hidden="1"/>
    </xf>
    <xf numFmtId="0" fontId="153" fillId="0" borderId="47" xfId="1" applyFont="1" applyBorder="1" applyAlignment="1" applyProtection="1">
      <alignment vertical="center" wrapText="1"/>
      <protection hidden="1"/>
    </xf>
    <xf numFmtId="0" fontId="3" fillId="0" borderId="0" xfId="1" applyFont="1" applyBorder="1" applyAlignment="1" applyProtection="1">
      <protection hidden="1"/>
    </xf>
    <xf numFmtId="0" fontId="30" fillId="0" borderId="4" xfId="0" applyFont="1" applyBorder="1" applyAlignment="1" applyProtection="1">
      <alignment horizontal="right" vertical="center"/>
      <protection locked="0"/>
    </xf>
    <xf numFmtId="0" fontId="12" fillId="0" borderId="48" xfId="1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3" fillId="6" borderId="39" xfId="0" applyFont="1" applyFill="1" applyBorder="1" applyAlignment="1" applyProtection="1">
      <alignment vertical="center"/>
      <protection hidden="1"/>
    </xf>
    <xf numFmtId="0" fontId="3" fillId="2" borderId="39" xfId="0" applyFont="1" applyFill="1" applyBorder="1" applyAlignment="1" applyProtection="1">
      <alignment horizontal="left" vertical="center"/>
      <protection hidden="1"/>
    </xf>
    <xf numFmtId="0" fontId="15" fillId="2" borderId="39" xfId="0" applyFont="1" applyFill="1" applyBorder="1" applyAlignment="1" applyProtection="1">
      <alignment vertical="center"/>
      <protection hidden="1"/>
    </xf>
    <xf numFmtId="0" fontId="89" fillId="12" borderId="22" xfId="0" applyFont="1" applyFill="1" applyBorder="1" applyAlignment="1" applyProtection="1">
      <alignment vertical="center"/>
      <protection hidden="1"/>
    </xf>
    <xf numFmtId="0" fontId="89" fillId="12" borderId="39" xfId="0" applyFont="1" applyFill="1" applyBorder="1" applyAlignment="1" applyProtection="1">
      <alignment vertical="center"/>
      <protection hidden="1"/>
    </xf>
    <xf numFmtId="0" fontId="89" fillId="12" borderId="8" xfId="0" applyFont="1" applyFill="1" applyBorder="1" applyAlignment="1" applyProtection="1">
      <alignment vertical="center"/>
      <protection hidden="1"/>
    </xf>
    <xf numFmtId="0" fontId="138" fillId="0" borderId="4" xfId="0" applyFont="1" applyFill="1" applyBorder="1" applyAlignment="1" applyProtection="1">
      <alignment horizontal="right" vertical="center"/>
      <protection locked="0"/>
    </xf>
    <xf numFmtId="0" fontId="35" fillId="0" borderId="48" xfId="1" applyFont="1" applyBorder="1" applyAlignment="1" applyProtection="1">
      <protection hidden="1"/>
    </xf>
    <xf numFmtId="0" fontId="35" fillId="0" borderId="48" xfId="1" applyFont="1" applyBorder="1" applyAlignment="1" applyProtection="1">
      <alignment vertical="center"/>
      <protection hidden="1"/>
    </xf>
    <xf numFmtId="168" fontId="118" fillId="0" borderId="93" xfId="1" applyNumberFormat="1" applyFont="1" applyBorder="1" applyAlignment="1" applyProtection="1">
      <alignment horizontal="center" vertical="center"/>
      <protection hidden="1"/>
    </xf>
    <xf numFmtId="168" fontId="118" fillId="0" borderId="30" xfId="1" applyNumberFormat="1" applyFont="1" applyBorder="1" applyAlignment="1" applyProtection="1">
      <alignment horizontal="center" vertical="center"/>
      <protection hidden="1"/>
    </xf>
    <xf numFmtId="168" fontId="118" fillId="0" borderId="94" xfId="1" applyNumberFormat="1" applyFont="1" applyBorder="1" applyAlignment="1" applyProtection="1">
      <alignment horizontal="center" vertical="center"/>
      <protection hidden="1"/>
    </xf>
    <xf numFmtId="0" fontId="18" fillId="0" borderId="87" xfId="1" applyFont="1" applyBorder="1" applyAlignment="1" applyProtection="1">
      <alignment horizontal="left"/>
      <protection hidden="1"/>
    </xf>
    <xf numFmtId="0" fontId="26" fillId="0" borderId="37" xfId="1" applyFont="1" applyBorder="1" applyAlignment="1" applyProtection="1">
      <alignment horizontal="left"/>
      <protection hidden="1"/>
    </xf>
    <xf numFmtId="9" fontId="26" fillId="0" borderId="0" xfId="1" quotePrefix="1" applyNumberFormat="1" applyFont="1" applyFill="1" applyBorder="1" applyAlignment="1" applyProtection="1">
      <alignment horizontal="left"/>
      <protection hidden="1"/>
    </xf>
    <xf numFmtId="0" fontId="116" fillId="0" borderId="68" xfId="1" applyFont="1" applyBorder="1" applyAlignment="1" applyProtection="1">
      <alignment horizontal="left"/>
      <protection hidden="1"/>
    </xf>
    <xf numFmtId="0" fontId="116" fillId="0" borderId="0" xfId="1" applyFont="1" applyBorder="1" applyAlignment="1" applyProtection="1">
      <alignment horizontal="left"/>
      <protection hidden="1"/>
    </xf>
    <xf numFmtId="0" fontId="18" fillId="0" borderId="92" xfId="1" applyFont="1" applyBorder="1" applyAlignment="1" applyProtection="1">
      <alignment horizontal="left"/>
      <protection hidden="1"/>
    </xf>
    <xf numFmtId="0" fontId="26" fillId="0" borderId="37" xfId="1" applyFont="1" applyBorder="1" applyAlignment="1" applyProtection="1">
      <alignment horizontal="center"/>
      <protection hidden="1"/>
    </xf>
    <xf numFmtId="0" fontId="26" fillId="0" borderId="0" xfId="1" applyFont="1" applyFill="1" applyBorder="1" applyAlignment="1" applyProtection="1">
      <alignment horizontal="center"/>
      <protection hidden="1"/>
    </xf>
    <xf numFmtId="0" fontId="26" fillId="0" borderId="0" xfId="1" applyFont="1" applyBorder="1" applyAlignment="1" applyProtection="1">
      <alignment horizontal="center"/>
      <protection hidden="1"/>
    </xf>
    <xf numFmtId="0" fontId="92" fillId="0" borderId="62" xfId="1" applyFont="1" applyBorder="1" applyAlignment="1" applyProtection="1">
      <alignment horizontal="right" vertical="center"/>
      <protection hidden="1"/>
    </xf>
    <xf numFmtId="0" fontId="92" fillId="0" borderId="25" xfId="1" applyFont="1" applyBorder="1" applyAlignment="1" applyProtection="1">
      <alignment horizontal="right" vertical="center"/>
      <protection hidden="1"/>
    </xf>
    <xf numFmtId="1" fontId="3" fillId="24" borderId="5" xfId="0" applyNumberFormat="1" applyFont="1" applyFill="1" applyBorder="1" applyAlignment="1" applyProtection="1">
      <alignment horizontal="right"/>
      <protection hidden="1"/>
    </xf>
    <xf numFmtId="0" fontId="157" fillId="0" borderId="4" xfId="0" applyFont="1" applyFill="1" applyBorder="1" applyAlignment="1" applyProtection="1">
      <alignment horizontal="center" vertical="center"/>
      <protection locked="0"/>
    </xf>
    <xf numFmtId="0" fontId="165" fillId="26" borderId="4" xfId="0" applyFont="1" applyFill="1" applyBorder="1" applyAlignment="1" applyProtection="1">
      <alignment horizontal="center" vertical="center"/>
      <protection hidden="1"/>
    </xf>
    <xf numFmtId="0" fontId="29" fillId="28" borderId="4" xfId="0" applyFont="1" applyFill="1" applyBorder="1" applyAlignment="1" applyProtection="1">
      <alignment horizontal="right" vertical="center"/>
      <protection hidden="1"/>
    </xf>
    <xf numFmtId="0" fontId="29" fillId="10" borderId="4" xfId="0" applyFont="1" applyFill="1" applyBorder="1" applyAlignment="1" applyProtection="1">
      <alignment horizontal="right" vertical="center"/>
      <protection hidden="1"/>
    </xf>
    <xf numFmtId="0" fontId="29" fillId="11" borderId="4" xfId="0" applyFont="1" applyFill="1" applyBorder="1" applyAlignment="1" applyProtection="1">
      <alignment horizontal="right" vertical="center"/>
      <protection hidden="1"/>
    </xf>
    <xf numFmtId="0" fontId="3" fillId="11" borderId="5" xfId="0" applyFont="1" applyFill="1" applyBorder="1" applyAlignment="1" applyProtection="1">
      <alignment horizontal="left"/>
      <protection hidden="1"/>
    </xf>
    <xf numFmtId="0" fontId="3" fillId="11" borderId="5" xfId="0" applyFont="1" applyFill="1" applyBorder="1" applyProtection="1">
      <protection hidden="1"/>
    </xf>
    <xf numFmtId="1" fontId="3" fillId="4" borderId="4" xfId="0" applyNumberFormat="1" applyFont="1" applyFill="1" applyBorder="1" applyProtection="1">
      <protection hidden="1"/>
    </xf>
    <xf numFmtId="168" fontId="15" fillId="0" borderId="5" xfId="0" applyNumberFormat="1" applyFont="1" applyBorder="1" applyAlignment="1" applyProtection="1">
      <alignment horizontal="right" vertical="center"/>
      <protection locked="0"/>
    </xf>
    <xf numFmtId="168" fontId="15" fillId="0" borderId="5" xfId="0" applyNumberFormat="1" applyFont="1" applyBorder="1" applyAlignment="1" applyProtection="1">
      <alignment horizontal="right" vertical="center"/>
      <protection locked="0" hidden="1"/>
    </xf>
    <xf numFmtId="171" fontId="36" fillId="0" borderId="4" xfId="1" applyNumberFormat="1" applyFont="1" applyFill="1" applyBorder="1" applyAlignment="1" applyProtection="1">
      <protection hidden="1"/>
    </xf>
    <xf numFmtId="171" fontId="36" fillId="0" borderId="50" xfId="1" applyNumberFormat="1" applyFont="1" applyBorder="1" applyAlignment="1" applyProtection="1">
      <alignment horizontal="right"/>
      <protection hidden="1"/>
    </xf>
    <xf numFmtId="171" fontId="36" fillId="0" borderId="22" xfId="1" applyNumberFormat="1" applyFont="1" applyFill="1" applyBorder="1" applyAlignment="1" applyProtection="1">
      <protection hidden="1"/>
    </xf>
    <xf numFmtId="0" fontId="4" fillId="0" borderId="50" xfId="1" applyNumberFormat="1" applyBorder="1" applyAlignment="1" applyProtection="1">
      <alignment horizontal="right"/>
      <protection hidden="1"/>
    </xf>
    <xf numFmtId="0" fontId="9" fillId="0" borderId="8" xfId="1" applyFont="1" applyFill="1" applyBorder="1" applyAlignment="1" applyProtection="1">
      <alignment horizontal="right" vertical="center"/>
      <protection hidden="1"/>
    </xf>
    <xf numFmtId="0" fontId="75" fillId="15" borderId="4" xfId="0" applyFont="1" applyFill="1" applyBorder="1" applyAlignment="1" applyProtection="1">
      <alignment horizontal="right" vertical="center"/>
      <protection hidden="1"/>
    </xf>
    <xf numFmtId="0" fontId="72" fillId="14" borderId="4" xfId="0" applyFont="1" applyFill="1" applyBorder="1" applyAlignment="1">
      <alignment horizontal="left" vertical="center"/>
    </xf>
    <xf numFmtId="0" fontId="161" fillId="0" borderId="0" xfId="0" applyFont="1" applyFill="1" applyBorder="1" applyAlignment="1" applyProtection="1">
      <alignment vertical="center"/>
      <protection hidden="1"/>
    </xf>
    <xf numFmtId="0" fontId="160" fillId="0" borderId="0" xfId="0" applyFont="1" applyFill="1" applyBorder="1" applyAlignment="1" applyProtection="1">
      <alignment vertical="center"/>
      <protection hidden="1"/>
    </xf>
    <xf numFmtId="0" fontId="13" fillId="0" borderId="4" xfId="2" applyNumberFormat="1" applyFont="1" applyBorder="1" applyAlignment="1" applyProtection="1">
      <alignment horizontal="center" vertical="center"/>
      <protection hidden="1"/>
    </xf>
    <xf numFmtId="169" fontId="9" fillId="28" borderId="4" xfId="10" applyNumberFormat="1" applyFont="1" applyFill="1" applyBorder="1" applyProtection="1">
      <protection hidden="1"/>
    </xf>
    <xf numFmtId="0" fontId="89" fillId="28" borderId="22" xfId="0" applyFont="1" applyFill="1" applyBorder="1" applyAlignment="1" applyProtection="1">
      <alignment vertical="center"/>
      <protection hidden="1"/>
    </xf>
    <xf numFmtId="0" fontId="89" fillId="28" borderId="39" xfId="0" applyFont="1" applyFill="1" applyBorder="1" applyAlignment="1" applyProtection="1">
      <alignment vertical="center"/>
      <protection hidden="1"/>
    </xf>
    <xf numFmtId="0" fontId="89" fillId="28" borderId="8" xfId="0" applyFont="1" applyFill="1" applyBorder="1" applyAlignment="1" applyProtection="1">
      <alignment vertical="center"/>
      <protection hidden="1"/>
    </xf>
    <xf numFmtId="0" fontId="152" fillId="2" borderId="4" xfId="0" applyFont="1" applyFill="1" applyBorder="1" applyAlignment="1" applyProtection="1">
      <alignment horizontal="left" vertical="center"/>
      <protection hidden="1"/>
    </xf>
    <xf numFmtId="1" fontId="14" fillId="3" borderId="4" xfId="0" applyNumberFormat="1" applyFont="1" applyFill="1" applyBorder="1" applyAlignment="1" applyProtection="1">
      <alignment horizontal="right" vertical="center" wrapText="1"/>
      <protection hidden="1"/>
    </xf>
    <xf numFmtId="0" fontId="14" fillId="3" borderId="4" xfId="0" applyFont="1" applyFill="1" applyBorder="1" applyAlignment="1" applyProtection="1">
      <alignment horizontal="right" vertical="center" wrapText="1"/>
      <protection hidden="1"/>
    </xf>
    <xf numFmtId="0" fontId="5" fillId="26" borderId="4" xfId="0" applyFont="1" applyFill="1" applyBorder="1" applyAlignment="1" applyProtection="1">
      <alignment horizontal="right" vertical="center"/>
      <protection hidden="1"/>
    </xf>
    <xf numFmtId="1" fontId="29" fillId="16" borderId="4" xfId="0" applyNumberFormat="1" applyFont="1" applyFill="1" applyBorder="1" applyAlignment="1" applyProtection="1">
      <alignment horizontal="right" vertical="center"/>
      <protection hidden="1"/>
    </xf>
    <xf numFmtId="0" fontId="8" fillId="10" borderId="4" xfId="0" applyFont="1" applyFill="1" applyBorder="1" applyAlignment="1" applyProtection="1">
      <alignment horizontal="center" vertical="center"/>
      <protection hidden="1"/>
    </xf>
    <xf numFmtId="180" fontId="36" fillId="0" borderId="122" xfId="0" applyNumberFormat="1" applyFont="1" applyFill="1" applyBorder="1" applyAlignment="1" applyProtection="1">
      <alignment horizontal="left" vertical="top"/>
      <protection hidden="1"/>
    </xf>
    <xf numFmtId="180" fontId="36" fillId="19" borderId="107" xfId="0" applyNumberFormat="1" applyFont="1" applyFill="1" applyBorder="1" applyAlignment="1" applyProtection="1">
      <alignment horizontal="left" vertical="top"/>
    </xf>
    <xf numFmtId="180" fontId="36" fillId="19" borderId="8" xfId="0" applyNumberFormat="1" applyFont="1" applyFill="1" applyBorder="1" applyAlignment="1" applyProtection="1">
      <alignment horizontal="left" vertical="top"/>
    </xf>
    <xf numFmtId="180" fontId="36" fillId="19" borderId="22" xfId="0" applyNumberFormat="1" applyFont="1" applyFill="1" applyBorder="1" applyAlignment="1" applyProtection="1">
      <alignment horizontal="left" vertical="top"/>
    </xf>
    <xf numFmtId="180" fontId="36" fillId="0" borderId="39" xfId="0" applyNumberFormat="1" applyFont="1" applyFill="1" applyBorder="1" applyAlignment="1" applyProtection="1">
      <alignment horizontal="left" vertical="top"/>
      <protection hidden="1"/>
    </xf>
    <xf numFmtId="0" fontId="3" fillId="24" borderId="17" xfId="1" applyFont="1" applyFill="1" applyBorder="1" applyAlignment="1" applyProtection="1">
      <alignment horizontal="center" vertical="center"/>
      <protection hidden="1"/>
    </xf>
    <xf numFmtId="0" fontId="3" fillId="24" borderId="12" xfId="1" applyFont="1" applyFill="1" applyBorder="1" applyAlignment="1" applyProtection="1">
      <alignment horizontal="center" vertical="center"/>
      <protection hidden="1"/>
    </xf>
    <xf numFmtId="0" fontId="3" fillId="24" borderId="39" xfId="1" applyFont="1" applyFill="1" applyBorder="1" applyAlignment="1" applyProtection="1">
      <alignment horizontal="center" vertical="center"/>
      <protection hidden="1"/>
    </xf>
    <xf numFmtId="0" fontId="18" fillId="0" borderId="91" xfId="1" applyFont="1" applyBorder="1" applyAlignment="1" applyProtection="1">
      <alignment horizontal="left"/>
      <protection hidden="1"/>
    </xf>
    <xf numFmtId="0" fontId="18" fillId="0" borderId="0" xfId="1" applyFont="1" applyBorder="1" applyAlignment="1" applyProtection="1">
      <alignment horizontal="left"/>
      <protection hidden="1"/>
    </xf>
    <xf numFmtId="0" fontId="26" fillId="0" borderId="18" xfId="1" applyFont="1" applyBorder="1" applyAlignment="1" applyProtection="1">
      <alignment horizontal="left"/>
      <protection hidden="1"/>
    </xf>
    <xf numFmtId="0" fontId="26" fillId="0" borderId="0" xfId="1" applyFont="1" applyBorder="1" applyAlignment="1" applyProtection="1">
      <alignment horizontal="left"/>
      <protection hidden="1"/>
    </xf>
    <xf numFmtId="49" fontId="92" fillId="0" borderId="32" xfId="1" applyNumberFormat="1" applyFont="1" applyBorder="1" applyAlignment="1" applyProtection="1">
      <alignment horizontal="center" vertical="center"/>
      <protection hidden="1"/>
    </xf>
    <xf numFmtId="49" fontId="92" fillId="0" borderId="1" xfId="1" applyNumberFormat="1" applyFont="1" applyBorder="1" applyAlignment="1" applyProtection="1">
      <alignment horizontal="center" vertical="center"/>
      <protection locked="0"/>
    </xf>
    <xf numFmtId="185" fontId="93" fillId="0" borderId="1" xfId="1" applyNumberFormat="1" applyFont="1" applyBorder="1" applyAlignment="1" applyProtection="1">
      <alignment horizontal="center" vertical="center"/>
      <protection locked="0"/>
    </xf>
    <xf numFmtId="49" fontId="92" fillId="0" borderId="32" xfId="1" applyNumberFormat="1" applyFont="1" applyBorder="1" applyAlignment="1" applyProtection="1">
      <alignment horizontal="center" vertical="center"/>
      <protection locked="0"/>
    </xf>
    <xf numFmtId="0" fontId="13" fillId="0" borderId="0" xfId="5" applyFont="1" applyBorder="1" applyAlignment="1" applyProtection="1">
      <alignment vertical="center"/>
      <protection hidden="1"/>
    </xf>
    <xf numFmtId="0" fontId="1" fillId="0" borderId="0" xfId="5" applyAlignment="1" applyProtection="1">
      <protection hidden="1"/>
    </xf>
    <xf numFmtId="1" fontId="118" fillId="0" borderId="1" xfId="1" applyNumberFormat="1" applyFont="1" applyBorder="1" applyAlignment="1" applyProtection="1">
      <alignment vertical="center"/>
      <protection locked="0"/>
    </xf>
    <xf numFmtId="1" fontId="118" fillId="0" borderId="1" xfId="1" applyNumberFormat="1" applyFont="1" applyBorder="1" applyAlignment="1" applyProtection="1">
      <alignment vertical="center"/>
      <protection hidden="1"/>
    </xf>
    <xf numFmtId="175" fontId="3" fillId="9" borderId="4" xfId="0" applyNumberFormat="1" applyFont="1" applyFill="1" applyBorder="1" applyAlignment="1" applyProtection="1">
      <alignment horizontal="right"/>
      <protection hidden="1"/>
    </xf>
    <xf numFmtId="175" fontId="3" fillId="6" borderId="4" xfId="0" applyNumberFormat="1" applyFont="1" applyFill="1" applyBorder="1" applyAlignment="1" applyProtection="1">
      <alignment horizontal="right"/>
      <protection hidden="1"/>
    </xf>
    <xf numFmtId="175" fontId="3" fillId="24" borderId="4" xfId="0" applyNumberFormat="1" applyFont="1" applyFill="1" applyBorder="1" applyAlignment="1" applyProtection="1">
      <alignment horizontal="right"/>
      <protection hidden="1"/>
    </xf>
    <xf numFmtId="0" fontId="9" fillId="0" borderId="5" xfId="0" applyNumberFormat="1" applyFont="1" applyFill="1" applyBorder="1" applyAlignment="1" applyProtection="1">
      <alignment horizontal="right" vertical="center"/>
      <protection locked="0"/>
    </xf>
    <xf numFmtId="173" fontId="174" fillId="11" borderId="133" xfId="0" applyNumberFormat="1" applyFont="1" applyFill="1" applyBorder="1" applyAlignment="1" applyProtection="1">
      <alignment horizontal="center" vertical="center"/>
      <protection hidden="1"/>
    </xf>
    <xf numFmtId="0" fontId="86" fillId="0" borderId="0" xfId="0" applyFont="1" applyProtection="1">
      <protection hidden="1"/>
    </xf>
    <xf numFmtId="0" fontId="44" fillId="0" borderId="0" xfId="0" applyFont="1" applyProtection="1"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175" fontId="176" fillId="0" borderId="4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>
      <alignment horizontal="right"/>
      <protection hidden="1"/>
    </xf>
    <xf numFmtId="175" fontId="131" fillId="0" borderId="0" xfId="0" applyNumberFormat="1" applyFont="1" applyBorder="1" applyAlignment="1" applyProtection="1">
      <alignment horizontal="center" vertical="center"/>
      <protection hidden="1"/>
    </xf>
    <xf numFmtId="1" fontId="167" fillId="0" borderId="4" xfId="0" applyNumberFormat="1" applyFont="1" applyFill="1" applyBorder="1" applyAlignment="1" applyProtection="1">
      <alignment horizontal="center" vertical="center"/>
      <protection hidden="1"/>
    </xf>
    <xf numFmtId="1" fontId="172" fillId="0" borderId="0" xfId="0" applyNumberFormat="1" applyFont="1" applyBorder="1" applyProtection="1">
      <protection hidden="1"/>
    </xf>
    <xf numFmtId="0" fontId="3" fillId="6" borderId="5" xfId="0" applyFont="1" applyFill="1" applyBorder="1" applyAlignment="1" applyProtection="1">
      <alignment horizontal="left" vertical="center"/>
      <protection hidden="1"/>
    </xf>
    <xf numFmtId="0" fontId="3" fillId="12" borderId="5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132" fillId="0" borderId="4" xfId="0" applyFont="1" applyFill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3" fillId="0" borderId="1" xfId="0" applyFont="1" applyBorder="1" applyProtection="1">
      <protection hidden="1"/>
    </xf>
    <xf numFmtId="175" fontId="176" fillId="0" borderId="0" xfId="0" applyNumberFormat="1" applyFont="1" applyFill="1" applyBorder="1" applyAlignment="1" applyProtection="1">
      <alignment horizontal="center" vertical="center"/>
      <protection hidden="1"/>
    </xf>
    <xf numFmtId="1" fontId="167" fillId="0" borderId="0" xfId="0" applyNumberFormat="1" applyFont="1" applyFill="1" applyBorder="1" applyAlignment="1" applyProtection="1">
      <alignment horizontal="center" vertical="center"/>
      <protection hidden="1"/>
    </xf>
    <xf numFmtId="1" fontId="167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4" xfId="6" applyFont="1" applyFill="1" applyBorder="1" applyAlignment="1" applyProtection="1">
      <alignment horizontal="left"/>
      <protection hidden="1"/>
    </xf>
    <xf numFmtId="0" fontId="12" fillId="0" borderId="4" xfId="6" applyFont="1" applyFill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1" fontId="172" fillId="0" borderId="4" xfId="0" applyNumberFormat="1" applyFont="1" applyBorder="1" applyProtection="1">
      <protection hidden="1"/>
    </xf>
    <xf numFmtId="1" fontId="3" fillId="0" borderId="4" xfId="0" applyNumberFormat="1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167" fontId="8" fillId="0" borderId="0" xfId="0" applyNumberFormat="1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132" fillId="0" borderId="4" xfId="0" applyFont="1" applyBorder="1" applyAlignment="1" applyProtection="1">
      <alignment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175" fontId="9" fillId="0" borderId="4" xfId="0" applyNumberFormat="1" applyFont="1" applyBorder="1" applyAlignment="1" applyProtection="1">
      <alignment horizontal="right" vertical="center"/>
      <protection hidden="1"/>
    </xf>
    <xf numFmtId="1" fontId="8" fillId="0" borderId="0" xfId="0" applyNumberFormat="1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44" fillId="0" borderId="0" xfId="0" applyFont="1" applyBorder="1" applyAlignment="1" applyProtection="1">
      <alignment horizontal="left"/>
      <protection hidden="1"/>
    </xf>
    <xf numFmtId="0" fontId="132" fillId="11" borderId="0" xfId="0" quotePrefix="1" applyNumberFormat="1" applyFont="1" applyFill="1" applyBorder="1" applyAlignment="1" applyProtection="1">
      <alignment horizontal="center" vertical="center"/>
      <protection hidden="1"/>
    </xf>
    <xf numFmtId="1" fontId="3" fillId="11" borderId="0" xfId="0" applyNumberFormat="1" applyFont="1" applyFill="1" applyBorder="1" applyProtection="1">
      <protection hidden="1"/>
    </xf>
    <xf numFmtId="0" fontId="0" fillId="11" borderId="0" xfId="0" applyFill="1" applyProtection="1">
      <protection hidden="1"/>
    </xf>
    <xf numFmtId="0" fontId="3" fillId="11" borderId="0" xfId="0" applyFont="1" applyFill="1" applyBorder="1" applyProtection="1"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horizontal="left" vertical="center"/>
      <protection hidden="1"/>
    </xf>
    <xf numFmtId="1" fontId="8" fillId="0" borderId="1" xfId="0" applyNumberFormat="1" applyFont="1" applyFill="1" applyBorder="1" applyAlignment="1" applyProtection="1">
      <alignment horizontal="left"/>
      <protection hidden="1"/>
    </xf>
    <xf numFmtId="0" fontId="8" fillId="0" borderId="1" xfId="0" applyFont="1" applyFill="1" applyBorder="1" applyAlignment="1" applyProtection="1">
      <alignment horizontal="left"/>
      <protection hidden="1"/>
    </xf>
    <xf numFmtId="0" fontId="69" fillId="0" borderId="1" xfId="0" applyFont="1" applyFill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vertical="center"/>
      <protection hidden="1"/>
    </xf>
    <xf numFmtId="167" fontId="8" fillId="0" borderId="1" xfId="0" applyNumberFormat="1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right"/>
      <protection hidden="1"/>
    </xf>
    <xf numFmtId="167" fontId="8" fillId="0" borderId="1" xfId="0" applyNumberFormat="1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0" fontId="12" fillId="0" borderId="1" xfId="0" applyFont="1" applyBorder="1" applyProtection="1">
      <protection hidden="1"/>
    </xf>
    <xf numFmtId="167" fontId="8" fillId="0" borderId="1" xfId="0" applyNumberFormat="1" applyFont="1" applyBorder="1" applyAlignment="1" applyProtection="1">
      <alignment horizontal="right" vertical="center"/>
      <protection hidden="1"/>
    </xf>
    <xf numFmtId="170" fontId="8" fillId="0" borderId="1" xfId="10" applyNumberFormat="1" applyFont="1" applyBorder="1" applyAlignment="1" applyProtection="1">
      <alignment horizontal="left" vertical="center"/>
      <protection hidden="1"/>
    </xf>
    <xf numFmtId="0" fontId="8" fillId="0" borderId="1" xfId="0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1" fontId="3" fillId="0" borderId="1" xfId="0" applyNumberFormat="1" applyFont="1" applyBorder="1" applyProtection="1"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173" fontId="3" fillId="0" borderId="1" xfId="0" applyNumberFormat="1" applyFont="1" applyBorder="1" applyAlignment="1" applyProtection="1">
      <alignment horizontal="left"/>
      <protection hidden="1"/>
    </xf>
    <xf numFmtId="16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1" xfId="0" applyNumberFormat="1" applyFont="1" applyBorder="1" applyAlignment="1" applyProtection="1">
      <alignment horizontal="left" vertical="center"/>
      <protection hidden="1"/>
    </xf>
    <xf numFmtId="168" fontId="3" fillId="0" borderId="1" xfId="0" applyNumberFormat="1" applyFont="1" applyBorder="1" applyAlignment="1" applyProtection="1">
      <alignment horizontal="left" vertical="center"/>
      <protection hidden="1"/>
    </xf>
    <xf numFmtId="168" fontId="3" fillId="0" borderId="1" xfId="0" applyNumberFormat="1" applyFont="1" applyBorder="1" applyAlignment="1" applyProtection="1">
      <alignment horizontal="left"/>
      <protection hidden="1"/>
    </xf>
    <xf numFmtId="1" fontId="3" fillId="0" borderId="1" xfId="0" applyNumberFormat="1" applyFont="1" applyBorder="1" applyAlignment="1" applyProtection="1">
      <alignment horizontal="left" vertical="center"/>
      <protection hidden="1"/>
    </xf>
    <xf numFmtId="1" fontId="3" fillId="0" borderId="1" xfId="0" applyNumberFormat="1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0" fontId="8" fillId="0" borderId="1" xfId="0" applyFont="1" applyBorder="1" applyAlignment="1" applyProtection="1">
      <alignment horizontal="right" vertical="center"/>
      <protection hidden="1"/>
    </xf>
    <xf numFmtId="1" fontId="8" fillId="0" borderId="1" xfId="0" applyNumberFormat="1" applyFont="1" applyBorder="1" applyAlignment="1" applyProtection="1">
      <alignment horizontal="right"/>
      <protection hidden="1"/>
    </xf>
    <xf numFmtId="0" fontId="8" fillId="0" borderId="1" xfId="0" applyFont="1" applyBorder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168" fontId="3" fillId="0" borderId="1" xfId="0" applyNumberFormat="1" applyFont="1" applyFill="1" applyBorder="1" applyAlignment="1" applyProtection="1">
      <alignment horizontal="left"/>
      <protection hidden="1"/>
    </xf>
    <xf numFmtId="1" fontId="172" fillId="0" borderId="4" xfId="0" applyNumberFormat="1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" fontId="172" fillId="0" borderId="0" xfId="0" applyNumberFormat="1" applyFont="1" applyFill="1" applyBorder="1" applyProtection="1"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175" fontId="3" fillId="0" borderId="0" xfId="0" applyNumberFormat="1" applyFont="1" applyFill="1" applyBorder="1" applyAlignment="1" applyProtection="1">
      <alignment horizontal="right"/>
      <protection hidden="1"/>
    </xf>
    <xf numFmtId="175" fontId="56" fillId="26" borderId="4" xfId="0" applyNumberFormat="1" applyFont="1" applyFill="1" applyBorder="1" applyAlignment="1" applyProtection="1">
      <alignment horizontal="right"/>
      <protection hidden="1"/>
    </xf>
    <xf numFmtId="0" fontId="177" fillId="0" borderId="4" xfId="0" applyFont="1" applyBorder="1" applyAlignment="1" applyProtection="1">
      <alignment horizontal="center" vertical="center"/>
      <protection hidden="1"/>
    </xf>
    <xf numFmtId="175" fontId="63" fillId="0" borderId="4" xfId="0" applyNumberFormat="1" applyFont="1" applyBorder="1" applyAlignment="1" applyProtection="1">
      <alignment horizontal="right" vertical="center"/>
      <protection hidden="1"/>
    </xf>
    <xf numFmtId="1" fontId="9" fillId="28" borderId="4" xfId="10" applyNumberFormat="1" applyFont="1" applyFill="1" applyBorder="1" applyProtection="1">
      <protection hidden="1"/>
    </xf>
    <xf numFmtId="168" fontId="178" fillId="0" borderId="1" xfId="0" applyNumberFormat="1" applyFont="1" applyBorder="1" applyAlignment="1" applyProtection="1">
      <alignment horizontal="center"/>
      <protection hidden="1"/>
    </xf>
    <xf numFmtId="0" fontId="3" fillId="26" borderId="4" xfId="0" applyFont="1" applyFill="1" applyBorder="1" applyAlignment="1" applyProtection="1">
      <alignment horizontal="center" vertical="center"/>
      <protection hidden="1"/>
    </xf>
    <xf numFmtId="0" fontId="8" fillId="6" borderId="4" xfId="0" applyFont="1" applyFill="1" applyBorder="1" applyAlignment="1" applyProtection="1">
      <alignment vertical="center" wrapText="1"/>
      <protection hidden="1"/>
    </xf>
    <xf numFmtId="0" fontId="9" fillId="6" borderId="4" xfId="0" applyFont="1" applyFill="1" applyBorder="1" applyAlignment="1" applyProtection="1">
      <alignment horizontal="right" vertical="center" wrapText="1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133" xfId="0" applyFont="1" applyFill="1" applyBorder="1" applyAlignment="1" applyProtection="1">
      <alignment horizontal="left" vertical="center"/>
      <protection hidden="1"/>
    </xf>
    <xf numFmtId="0" fontId="3" fillId="6" borderId="133" xfId="0" applyFont="1" applyFill="1" applyBorder="1" applyAlignment="1" applyProtection="1">
      <alignment horizontal="left" vertical="center"/>
      <protection hidden="1"/>
    </xf>
    <xf numFmtId="0" fontId="3" fillId="2" borderId="131" xfId="0" applyFont="1" applyFill="1" applyBorder="1" applyAlignment="1" applyProtection="1">
      <alignment horizontal="left" vertical="center"/>
      <protection hidden="1"/>
    </xf>
    <xf numFmtId="0" fontId="3" fillId="6" borderId="131" xfId="0" applyFont="1" applyFill="1" applyBorder="1" applyAlignment="1" applyProtection="1">
      <alignment horizontal="left" vertical="center"/>
      <protection hidden="1"/>
    </xf>
    <xf numFmtId="0" fontId="3" fillId="12" borderId="133" xfId="0" applyFont="1" applyFill="1" applyBorder="1" applyAlignment="1" applyProtection="1">
      <alignment horizontal="left" vertical="center"/>
      <protection hidden="1"/>
    </xf>
    <xf numFmtId="0" fontId="3" fillId="12" borderId="131" xfId="0" applyFont="1" applyFill="1" applyBorder="1" applyAlignment="1" applyProtection="1">
      <alignment horizontal="left" vertical="center"/>
      <protection hidden="1"/>
    </xf>
    <xf numFmtId="175" fontId="12" fillId="0" borderId="5" xfId="0" applyNumberFormat="1" applyFont="1" applyFill="1" applyBorder="1" applyAlignment="1" applyProtection="1">
      <alignment horizontal="left" vertical="center"/>
      <protection locked="0"/>
    </xf>
    <xf numFmtId="167" fontId="12" fillId="0" borderId="5" xfId="0" applyNumberFormat="1" applyFont="1" applyBorder="1" applyAlignment="1" applyProtection="1">
      <alignment horizontal="left" vertical="center"/>
      <protection locked="0"/>
    </xf>
    <xf numFmtId="173" fontId="180" fillId="11" borderId="58" xfId="0" applyNumberFormat="1" applyFont="1" applyFill="1" applyBorder="1" applyAlignment="1" applyProtection="1">
      <alignment horizontal="center" vertical="center"/>
      <protection hidden="1"/>
    </xf>
    <xf numFmtId="173" fontId="180" fillId="11" borderId="137" xfId="0" applyNumberFormat="1" applyFont="1" applyFill="1" applyBorder="1" applyAlignment="1" applyProtection="1">
      <alignment horizontal="center" vertical="center"/>
      <protection hidden="1"/>
    </xf>
    <xf numFmtId="0" fontId="132" fillId="0" borderId="0" xfId="0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3" fillId="0" borderId="4" xfId="0" applyFont="1" applyFill="1" applyBorder="1" applyProtection="1">
      <protection hidden="1"/>
    </xf>
    <xf numFmtId="1" fontId="59" fillId="0" borderId="4" xfId="0" applyNumberFormat="1" applyFont="1" applyFill="1" applyBorder="1" applyAlignment="1" applyProtection="1">
      <alignment horizontal="center" vertical="center"/>
      <protection hidden="1"/>
    </xf>
    <xf numFmtId="0" fontId="9" fillId="30" borderId="4" xfId="0" applyFont="1" applyFill="1" applyBorder="1" applyAlignment="1" applyProtection="1">
      <alignment horizontal="center" vertical="center"/>
      <protection hidden="1"/>
    </xf>
    <xf numFmtId="0" fontId="3" fillId="30" borderId="4" xfId="0" applyFont="1" applyFill="1" applyBorder="1" applyAlignment="1" applyProtection="1">
      <alignment horizontal="left" vertical="center"/>
      <protection hidden="1"/>
    </xf>
    <xf numFmtId="0" fontId="15" fillId="30" borderId="4" xfId="0" applyFont="1" applyFill="1" applyBorder="1" applyAlignment="1" applyProtection="1">
      <alignment horizontal="left" vertical="center"/>
      <protection hidden="1"/>
    </xf>
    <xf numFmtId="0" fontId="29" fillId="2" borderId="4" xfId="0" applyFont="1" applyFill="1" applyBorder="1" applyAlignment="1" applyProtection="1">
      <alignment horizontal="center" vertical="center"/>
      <protection hidden="1"/>
    </xf>
    <xf numFmtId="0" fontId="65" fillId="26" borderId="4" xfId="0" applyFont="1" applyFill="1" applyBorder="1" applyAlignment="1" applyProtection="1">
      <alignment horizontal="center" vertical="center"/>
      <protection hidden="1"/>
    </xf>
    <xf numFmtId="1" fontId="167" fillId="0" borderId="4" xfId="0" applyNumberFormat="1" applyFont="1" applyFill="1" applyBorder="1" applyAlignment="1" applyProtection="1">
      <alignment horizontal="right" vertical="center"/>
      <protection hidden="1"/>
    </xf>
    <xf numFmtId="1" fontId="3" fillId="0" borderId="4" xfId="0" applyNumberFormat="1" applyFont="1" applyFill="1" applyBorder="1" applyAlignment="1" applyProtection="1">
      <alignment horizontal="right"/>
      <protection hidden="1"/>
    </xf>
    <xf numFmtId="1" fontId="172" fillId="0" borderId="4" xfId="0" applyNumberFormat="1" applyFont="1" applyFill="1" applyBorder="1" applyAlignment="1" applyProtection="1">
      <alignment horizontal="right"/>
      <protection hidden="1"/>
    </xf>
    <xf numFmtId="1" fontId="167" fillId="3" borderId="4" xfId="0" applyNumberFormat="1" applyFont="1" applyFill="1" applyBorder="1" applyAlignment="1" applyProtection="1">
      <alignment horizontal="right" vertical="center"/>
      <protection hidden="1"/>
    </xf>
    <xf numFmtId="0" fontId="30" fillId="15" borderId="4" xfId="0" applyFont="1" applyFill="1" applyBorder="1" applyAlignment="1" applyProtection="1">
      <alignment horizontal="center" vertical="center"/>
      <protection hidden="1"/>
    </xf>
    <xf numFmtId="175" fontId="3" fillId="15" borderId="4" xfId="0" applyNumberFormat="1" applyFont="1" applyFill="1" applyBorder="1" applyAlignment="1" applyProtection="1">
      <alignment horizontal="right"/>
      <protection hidden="1"/>
    </xf>
    <xf numFmtId="1" fontId="172" fillId="3" borderId="4" xfId="0" applyNumberFormat="1" applyFont="1" applyFill="1" applyBorder="1" applyProtection="1">
      <protection hidden="1"/>
    </xf>
    <xf numFmtId="0" fontId="29" fillId="2" borderId="22" xfId="0" applyFont="1" applyFill="1" applyBorder="1" applyAlignment="1" applyProtection="1">
      <alignment horizontal="center" vertical="center"/>
      <protection hidden="1"/>
    </xf>
    <xf numFmtId="0" fontId="172" fillId="0" borderId="4" xfId="0" applyFont="1" applyFill="1" applyBorder="1" applyProtection="1">
      <protection hidden="1"/>
    </xf>
    <xf numFmtId="168" fontId="15" fillId="0" borderId="4" xfId="0" applyNumberFormat="1" applyFont="1" applyFill="1" applyBorder="1" applyAlignment="1" applyProtection="1">
      <alignment horizontal="right" vertical="center"/>
      <protection locked="0"/>
    </xf>
    <xf numFmtId="0" fontId="179" fillId="0" borderId="0" xfId="0" applyFont="1" applyFill="1" applyBorder="1" applyAlignment="1">
      <alignment vertical="center" wrapText="1"/>
    </xf>
    <xf numFmtId="0" fontId="47" fillId="0" borderId="39" xfId="0" applyFont="1" applyFill="1" applyBorder="1" applyAlignment="1" applyProtection="1">
      <alignment vertical="center" wrapText="1"/>
      <protection hidden="1"/>
    </xf>
    <xf numFmtId="0" fontId="9" fillId="0" borderId="15" xfId="0" applyFont="1" applyFill="1" applyBorder="1" applyAlignment="1" applyProtection="1">
      <alignment horizontal="left" vertical="center"/>
      <protection hidden="1"/>
    </xf>
    <xf numFmtId="49" fontId="9" fillId="0" borderId="15" xfId="0" applyNumberFormat="1" applyFont="1" applyFill="1" applyBorder="1" applyAlignment="1" applyProtection="1">
      <alignment horizontal="left" vertical="center"/>
      <protection hidden="1"/>
    </xf>
    <xf numFmtId="1" fontId="9" fillId="0" borderId="15" xfId="0" applyNumberFormat="1" applyFont="1" applyFill="1" applyBorder="1" applyAlignment="1" applyProtection="1">
      <alignment horizontal="left" vertical="center"/>
      <protection hidden="1"/>
    </xf>
    <xf numFmtId="0" fontId="8" fillId="0" borderId="15" xfId="0" applyFont="1" applyFill="1" applyBorder="1" applyAlignment="1" applyProtection="1">
      <alignment horizontal="left" vertical="center"/>
      <protection hidden="1"/>
    </xf>
    <xf numFmtId="0" fontId="12" fillId="0" borderId="15" xfId="0" applyFont="1" applyFill="1" applyBorder="1" applyAlignment="1" applyProtection="1">
      <alignment horizontal="left" vertical="center"/>
      <protection hidden="1"/>
    </xf>
    <xf numFmtId="0" fontId="0" fillId="0" borderId="4" xfId="0" applyFill="1" applyBorder="1"/>
    <xf numFmtId="0" fontId="12" fillId="0" borderId="11" xfId="0" applyFont="1" applyFill="1" applyBorder="1" applyAlignment="1" applyProtection="1">
      <alignment vertical="center"/>
      <protection hidden="1"/>
    </xf>
    <xf numFmtId="0" fontId="138" fillId="0" borderId="0" xfId="0" applyFont="1" applyFill="1" applyBorder="1" applyAlignment="1" applyProtection="1">
      <alignment vertical="center"/>
      <protection hidden="1"/>
    </xf>
    <xf numFmtId="0" fontId="187" fillId="27" borderId="4" xfId="0" applyFont="1" applyFill="1" applyBorder="1" applyAlignment="1" applyProtection="1">
      <alignment horizontal="center" vertical="center"/>
      <protection hidden="1"/>
    </xf>
    <xf numFmtId="0" fontId="66" fillId="27" borderId="4" xfId="0" applyFont="1" applyFill="1" applyBorder="1" applyAlignment="1" applyProtection="1">
      <alignment horizontal="center" vertical="center"/>
      <protection hidden="1"/>
    </xf>
    <xf numFmtId="1" fontId="36" fillId="0" borderId="17" xfId="1" applyNumberFormat="1" applyFont="1" applyFill="1" applyBorder="1" applyAlignment="1" applyProtection="1">
      <alignment vertical="center"/>
      <protection hidden="1"/>
    </xf>
    <xf numFmtId="1" fontId="36" fillId="0" borderId="17" xfId="1" applyNumberFormat="1" applyFont="1" applyFill="1" applyBorder="1" applyAlignment="1" applyProtection="1">
      <protection hidden="1"/>
    </xf>
    <xf numFmtId="9" fontId="9" fillId="0" borderId="8" xfId="1" applyNumberFormat="1" applyFont="1" applyFill="1" applyBorder="1" applyAlignment="1" applyProtection="1">
      <alignment horizontal="right"/>
      <protection hidden="1"/>
    </xf>
    <xf numFmtId="9" fontId="9" fillId="0" borderId="22" xfId="1" applyNumberFormat="1" applyFont="1" applyFill="1" applyBorder="1" applyAlignment="1" applyProtection="1">
      <protection hidden="1"/>
    </xf>
    <xf numFmtId="1" fontId="12" fillId="14" borderId="4" xfId="0" applyNumberFormat="1" applyFont="1" applyFill="1" applyBorder="1" applyAlignment="1" applyProtection="1">
      <protection hidden="1"/>
    </xf>
    <xf numFmtId="0" fontId="71" fillId="6" borderId="193" xfId="0" applyFont="1" applyFill="1" applyBorder="1" applyAlignment="1" applyProtection="1">
      <alignment horizontal="center" vertical="center"/>
      <protection hidden="1"/>
    </xf>
    <xf numFmtId="0" fontId="71" fillId="6" borderId="186" xfId="0" applyFont="1" applyFill="1" applyBorder="1" applyAlignment="1" applyProtection="1">
      <alignment horizontal="center" vertical="center"/>
      <protection hidden="1"/>
    </xf>
    <xf numFmtId="0" fontId="71" fillId="6" borderId="194" xfId="0" applyFont="1" applyFill="1" applyBorder="1" applyAlignment="1" applyProtection="1">
      <alignment horizontal="center" vertical="center"/>
      <protection hidden="1"/>
    </xf>
    <xf numFmtId="1" fontId="0" fillId="0" borderId="143" xfId="0" applyNumberFormat="1" applyBorder="1" applyProtection="1">
      <protection hidden="1"/>
    </xf>
    <xf numFmtId="0" fontId="136" fillId="0" borderId="186" xfId="0" applyFont="1" applyBorder="1" applyAlignment="1" applyProtection="1">
      <alignment horizontal="center" vertical="center"/>
      <protection hidden="1"/>
    </xf>
    <xf numFmtId="0" fontId="136" fillId="0" borderId="0" xfId="0" applyFont="1" applyBorder="1" applyAlignment="1" applyProtection="1">
      <alignment horizontal="center" vertical="center"/>
      <protection hidden="1"/>
    </xf>
    <xf numFmtId="1" fontId="0" fillId="0" borderId="144" xfId="0" applyNumberFormat="1" applyBorder="1" applyProtection="1">
      <protection hidden="1"/>
    </xf>
    <xf numFmtId="0" fontId="166" fillId="0" borderId="0" xfId="1" applyFont="1" applyBorder="1" applyAlignment="1" applyProtection="1">
      <alignment horizontal="center" vertical="center"/>
      <protection hidden="1"/>
    </xf>
    <xf numFmtId="0" fontId="167" fillId="14" borderId="13" xfId="0" applyFont="1" applyFill="1" applyBorder="1" applyAlignment="1" applyProtection="1">
      <alignment horizontal="right" vertical="center"/>
      <protection hidden="1"/>
    </xf>
    <xf numFmtId="0" fontId="13" fillId="14" borderId="14" xfId="0" applyFont="1" applyFill="1" applyBorder="1" applyAlignment="1" applyProtection="1">
      <alignment horizontal="right" vertical="center"/>
      <protection hidden="1"/>
    </xf>
    <xf numFmtId="0" fontId="167" fillId="14" borderId="128" xfId="0" applyFont="1" applyFill="1" applyBorder="1" applyAlignment="1" applyProtection="1">
      <alignment horizontal="right" vertical="center"/>
      <protection hidden="1"/>
    </xf>
    <xf numFmtId="0" fontId="13" fillId="14" borderId="116" xfId="0" applyFont="1" applyFill="1" applyBorder="1" applyAlignment="1" applyProtection="1">
      <alignment horizontal="right" vertical="center"/>
      <protection hidden="1"/>
    </xf>
    <xf numFmtId="0" fontId="3" fillId="2" borderId="5" xfId="0" applyFont="1" applyFill="1" applyBorder="1" applyAlignment="1" applyProtection="1">
      <alignment horizontal="right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0" fillId="2" borderId="5" xfId="0" applyFont="1" applyFill="1" applyBorder="1" applyAlignment="1" applyProtection="1">
      <alignment horizontal="center" vertical="center"/>
      <protection hidden="1"/>
    </xf>
    <xf numFmtId="0" fontId="3" fillId="9" borderId="5" xfId="0" applyFont="1" applyFill="1" applyBorder="1" applyAlignment="1" applyProtection="1">
      <alignment horizontal="center" vertical="center"/>
      <protection hidden="1"/>
    </xf>
    <xf numFmtId="0" fontId="30" fillId="9" borderId="5" xfId="0" applyFont="1" applyFill="1" applyBorder="1" applyAlignment="1" applyProtection="1">
      <alignment horizontal="center" vertical="center"/>
      <protection hidden="1"/>
    </xf>
    <xf numFmtId="0" fontId="3" fillId="9" borderId="5" xfId="0" applyFont="1" applyFill="1" applyBorder="1" applyAlignment="1" applyProtection="1">
      <alignment horizontal="right" vertical="center"/>
      <protection hidden="1"/>
    </xf>
    <xf numFmtId="0" fontId="12" fillId="2" borderId="4" xfId="0" applyFont="1" applyFill="1" applyBorder="1" applyAlignment="1" applyProtection="1">
      <alignment horizontal="right"/>
      <protection hidden="1"/>
    </xf>
    <xf numFmtId="0" fontId="12" fillId="2" borderId="5" xfId="0" applyFont="1" applyFill="1" applyBorder="1" applyAlignment="1" applyProtection="1">
      <alignment horizontal="center" vertical="center"/>
      <protection hidden="1"/>
    </xf>
    <xf numFmtId="0" fontId="12" fillId="9" borderId="5" xfId="0" applyFont="1" applyFill="1" applyBorder="1" applyAlignment="1" applyProtection="1">
      <alignment horizontal="center" vertical="center"/>
      <protection hidden="1"/>
    </xf>
    <xf numFmtId="167" fontId="123" fillId="2" borderId="4" xfId="0" applyNumberFormat="1" applyFont="1" applyFill="1" applyBorder="1" applyAlignment="1" applyProtection="1">
      <alignment horizontal="right"/>
      <protection hidden="1"/>
    </xf>
    <xf numFmtId="167" fontId="15" fillId="0" borderId="4" xfId="0" applyNumberFormat="1" applyFont="1" applyFill="1" applyBorder="1" applyAlignment="1" applyProtection="1">
      <alignment horizontal="right" vertical="center"/>
      <protection locked="0"/>
    </xf>
    <xf numFmtId="0" fontId="30" fillId="10" borderId="198" xfId="0" applyFont="1" applyFill="1" applyBorder="1" applyAlignment="1" applyProtection="1">
      <alignment horizontal="center" vertical="center"/>
      <protection hidden="1"/>
    </xf>
    <xf numFmtId="0" fontId="30" fillId="2" borderId="138" xfId="0" applyFont="1" applyFill="1" applyBorder="1" applyAlignment="1" applyProtection="1">
      <alignment horizontal="center" vertical="center"/>
      <protection hidden="1"/>
    </xf>
    <xf numFmtId="0" fontId="9" fillId="10" borderId="199" xfId="0" applyFont="1" applyFill="1" applyBorder="1" applyAlignment="1" applyProtection="1">
      <alignment horizontal="center" vertical="center"/>
      <protection hidden="1"/>
    </xf>
    <xf numFmtId="0" fontId="9" fillId="2" borderId="58" xfId="0" applyFont="1" applyFill="1" applyBorder="1" applyAlignment="1" applyProtection="1">
      <alignment horizontal="center" vertical="center"/>
      <protection hidden="1"/>
    </xf>
    <xf numFmtId="167" fontId="15" fillId="0" borderId="6" xfId="0" applyNumberFormat="1" applyFont="1" applyFill="1" applyBorder="1" applyAlignment="1" applyProtection="1">
      <alignment horizontal="right" vertical="center"/>
      <protection locked="0"/>
    </xf>
    <xf numFmtId="0" fontId="134" fillId="12" borderId="131" xfId="0" applyFont="1" applyFill="1" applyBorder="1" applyAlignment="1" applyProtection="1">
      <alignment horizontal="right" vertical="center"/>
      <protection hidden="1"/>
    </xf>
    <xf numFmtId="0" fontId="134" fillId="12" borderId="132" xfId="0" applyFont="1" applyFill="1" applyBorder="1" applyAlignment="1" applyProtection="1">
      <alignment horizontal="left" vertical="center"/>
      <protection hidden="1"/>
    </xf>
    <xf numFmtId="0" fontId="134" fillId="12" borderId="132" xfId="0" applyFont="1" applyFill="1" applyBorder="1" applyAlignment="1" applyProtection="1">
      <alignment vertical="center"/>
      <protection hidden="1"/>
    </xf>
    <xf numFmtId="0" fontId="134" fillId="12" borderId="133" xfId="0" applyFont="1" applyFill="1" applyBorder="1" applyAlignment="1" applyProtection="1">
      <alignment vertical="center"/>
      <protection hidden="1"/>
    </xf>
    <xf numFmtId="0" fontId="75" fillId="12" borderId="22" xfId="0" applyFont="1" applyFill="1" applyBorder="1" applyAlignment="1">
      <alignment horizontal="right" vertical="center"/>
    </xf>
    <xf numFmtId="0" fontId="75" fillId="12" borderId="39" xfId="0" applyFont="1" applyFill="1" applyBorder="1" applyAlignment="1">
      <alignment horizontal="left" vertical="center"/>
    </xf>
    <xf numFmtId="0" fontId="0" fillId="12" borderId="39" xfId="0" applyFont="1" applyFill="1" applyBorder="1"/>
    <xf numFmtId="0" fontId="16" fillId="12" borderId="8" xfId="0" applyFont="1" applyFill="1" applyBorder="1"/>
    <xf numFmtId="1" fontId="12" fillId="0" borderId="0" xfId="0" applyNumberFormat="1" applyFont="1" applyBorder="1" applyProtection="1">
      <protection hidden="1"/>
    </xf>
    <xf numFmtId="0" fontId="29" fillId="2" borderId="6" xfId="0" applyFont="1" applyFill="1" applyBorder="1" applyAlignment="1" applyProtection="1">
      <alignment horizontal="left" vertical="center"/>
      <protection hidden="1"/>
    </xf>
    <xf numFmtId="0" fontId="9" fillId="2" borderId="6" xfId="0" applyFont="1" applyFill="1" applyBorder="1" applyAlignment="1" applyProtection="1">
      <alignment horizontal="left" vertical="top"/>
      <protection hidden="1"/>
    </xf>
    <xf numFmtId="0" fontId="29" fillId="2" borderId="4" xfId="0" applyFont="1" applyFill="1" applyBorder="1" applyAlignment="1" applyProtection="1">
      <alignment horizontal="left" vertical="center"/>
      <protection hidden="1"/>
    </xf>
    <xf numFmtId="0" fontId="0" fillId="2" borderId="4" xfId="0" applyFill="1" applyBorder="1" applyProtection="1">
      <protection hidden="1"/>
    </xf>
    <xf numFmtId="0" fontId="188" fillId="10" borderId="38" xfId="0" applyFont="1" applyFill="1" applyBorder="1" applyAlignment="1" applyProtection="1">
      <alignment horizontal="right" vertical="center"/>
      <protection hidden="1"/>
    </xf>
    <xf numFmtId="0" fontId="188" fillId="10" borderId="25" xfId="0" applyFont="1" applyFill="1" applyBorder="1" applyAlignment="1" applyProtection="1">
      <alignment horizontal="right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5" fillId="0" borderId="70" xfId="0" applyFont="1" applyBorder="1" applyAlignment="1" applyProtection="1">
      <alignment horizontal="center" vertical="center"/>
      <protection hidden="1"/>
    </xf>
    <xf numFmtId="0" fontId="24" fillId="0" borderId="20" xfId="6" applyFont="1" applyFill="1" applyBorder="1" applyAlignment="1" applyProtection="1">
      <alignment horizontal="center" vertical="center" wrapText="1"/>
      <protection hidden="1"/>
    </xf>
    <xf numFmtId="0" fontId="24" fillId="0" borderId="19" xfId="6" applyFont="1" applyFill="1" applyBorder="1" applyAlignment="1" applyProtection="1">
      <alignment horizontal="center" vertical="center" wrapText="1"/>
      <protection hidden="1"/>
    </xf>
    <xf numFmtId="0" fontId="24" fillId="0" borderId="2" xfId="6" applyFont="1" applyFill="1" applyBorder="1" applyAlignment="1" applyProtection="1">
      <alignment horizontal="center" vertical="center" wrapText="1"/>
      <protection hidden="1"/>
    </xf>
    <xf numFmtId="0" fontId="24" fillId="0" borderId="21" xfId="6" applyFont="1" applyFill="1" applyBorder="1" applyAlignment="1" applyProtection="1">
      <alignment horizontal="center" vertical="center" wrapText="1"/>
      <protection hidden="1"/>
    </xf>
    <xf numFmtId="0" fontId="24" fillId="0" borderId="18" xfId="6" applyFont="1" applyFill="1" applyBorder="1" applyAlignment="1" applyProtection="1">
      <alignment horizontal="center" vertical="center" wrapText="1"/>
      <protection hidden="1"/>
    </xf>
    <xf numFmtId="0" fontId="24" fillId="0" borderId="3" xfId="6" applyFont="1" applyFill="1" applyBorder="1" applyAlignment="1" applyProtection="1">
      <alignment horizontal="center" vertical="center" wrapText="1"/>
      <protection hidden="1"/>
    </xf>
    <xf numFmtId="0" fontId="6" fillId="0" borderId="96" xfId="6" applyFont="1" applyBorder="1" applyAlignment="1" applyProtection="1">
      <alignment horizontal="center" vertical="center" wrapText="1"/>
      <protection hidden="1"/>
    </xf>
    <xf numFmtId="0" fontId="6" fillId="0" borderId="97" xfId="6" applyFont="1" applyBorder="1" applyAlignment="1" applyProtection="1">
      <alignment horizontal="center" vertical="center" wrapText="1"/>
      <protection hidden="1"/>
    </xf>
    <xf numFmtId="0" fontId="6" fillId="0" borderId="98" xfId="6" applyFont="1" applyBorder="1" applyAlignment="1" applyProtection="1">
      <alignment horizontal="center" vertical="center" wrapText="1"/>
      <protection hidden="1"/>
    </xf>
    <xf numFmtId="0" fontId="6" fillId="0" borderId="99" xfId="6" applyFont="1" applyBorder="1" applyAlignment="1" applyProtection="1">
      <alignment horizontal="center" vertical="center" wrapText="1"/>
      <protection hidden="1"/>
    </xf>
    <xf numFmtId="0" fontId="6" fillId="0" borderId="0" xfId="6" applyFont="1" applyBorder="1" applyAlignment="1" applyProtection="1">
      <alignment horizontal="center" vertical="center" wrapText="1"/>
      <protection hidden="1"/>
    </xf>
    <xf numFmtId="0" fontId="6" fillId="0" borderId="100" xfId="6" applyFont="1" applyBorder="1" applyAlignment="1" applyProtection="1">
      <alignment horizontal="center" vertical="center" wrapText="1"/>
      <protection hidden="1"/>
    </xf>
    <xf numFmtId="0" fontId="6" fillId="0" borderId="101" xfId="6" applyFont="1" applyBorder="1" applyAlignment="1" applyProtection="1">
      <alignment horizontal="center" vertical="center" wrapText="1"/>
      <protection hidden="1"/>
    </xf>
    <xf numFmtId="0" fontId="6" fillId="0" borderId="102" xfId="6" applyFont="1" applyBorder="1" applyAlignment="1" applyProtection="1">
      <alignment horizontal="center" vertical="center" wrapText="1"/>
      <protection hidden="1"/>
    </xf>
    <xf numFmtId="0" fontId="6" fillId="0" borderId="103" xfId="6" applyFont="1" applyBorder="1" applyAlignment="1" applyProtection="1">
      <alignment horizontal="center" vertical="center" wrapText="1"/>
      <protection hidden="1"/>
    </xf>
    <xf numFmtId="0" fontId="178" fillId="0" borderId="4" xfId="0" applyFont="1" applyBorder="1" applyAlignment="1" applyProtection="1">
      <alignment horizontal="center"/>
      <protection hidden="1"/>
    </xf>
    <xf numFmtId="175" fontId="138" fillId="15" borderId="22" xfId="0" applyNumberFormat="1" applyFont="1" applyFill="1" applyBorder="1" applyAlignment="1" applyProtection="1">
      <alignment horizontal="center" vertical="center"/>
      <protection hidden="1"/>
    </xf>
    <xf numFmtId="175" fontId="138" fillId="15" borderId="8" xfId="0" applyNumberFormat="1" applyFont="1" applyFill="1" applyBorder="1" applyAlignment="1" applyProtection="1">
      <alignment horizontal="center" vertical="center"/>
      <protection hidden="1"/>
    </xf>
    <xf numFmtId="0" fontId="9" fillId="14" borderId="22" xfId="0" applyFont="1" applyFill="1" applyBorder="1" applyAlignment="1">
      <alignment horizontal="left" vertical="center"/>
    </xf>
    <xf numFmtId="0" fontId="9" fillId="14" borderId="8" xfId="0" applyFont="1" applyFill="1" applyBorder="1" applyAlignment="1">
      <alignment horizontal="left" vertical="center"/>
    </xf>
    <xf numFmtId="0" fontId="12" fillId="2" borderId="4" xfId="0" applyFont="1" applyFill="1" applyBorder="1" applyAlignment="1" applyProtection="1">
      <alignment horizontal="center"/>
      <protection hidden="1"/>
    </xf>
    <xf numFmtId="0" fontId="9" fillId="0" borderId="22" xfId="0" applyFont="1" applyBorder="1" applyAlignment="1" applyProtection="1">
      <alignment horizontal="center"/>
      <protection hidden="1"/>
    </xf>
    <xf numFmtId="0" fontId="9" fillId="0" borderId="8" xfId="0" applyFont="1" applyBorder="1" applyAlignment="1" applyProtection="1">
      <alignment horizontal="center"/>
      <protection hidden="1"/>
    </xf>
    <xf numFmtId="0" fontId="14" fillId="6" borderId="137" xfId="0" applyFont="1" applyFill="1" applyBorder="1" applyAlignment="1">
      <alignment horizontal="center" vertical="center" wrapText="1"/>
    </xf>
    <xf numFmtId="0" fontId="14" fillId="6" borderId="58" xfId="0" applyFont="1" applyFill="1" applyBorder="1" applyAlignment="1">
      <alignment horizontal="center" vertical="center" wrapText="1"/>
    </xf>
    <xf numFmtId="0" fontId="162" fillId="12" borderId="13" xfId="0" applyFont="1" applyFill="1" applyBorder="1" applyAlignment="1" applyProtection="1">
      <alignment horizontal="center" vertical="center" wrapText="1"/>
      <protection hidden="1"/>
    </xf>
    <xf numFmtId="0" fontId="162" fillId="12" borderId="11" xfId="0" applyFont="1" applyFill="1" applyBorder="1" applyAlignment="1" applyProtection="1">
      <alignment horizontal="center" vertical="center" wrapText="1"/>
      <protection hidden="1"/>
    </xf>
    <xf numFmtId="0" fontId="162" fillId="12" borderId="14" xfId="0" applyFont="1" applyFill="1" applyBorder="1" applyAlignment="1" applyProtection="1">
      <alignment horizontal="center" vertical="center" wrapText="1"/>
      <protection hidden="1"/>
    </xf>
    <xf numFmtId="0" fontId="162" fillId="12" borderId="128" xfId="0" applyFont="1" applyFill="1" applyBorder="1" applyAlignment="1" applyProtection="1">
      <alignment horizontal="center" vertical="center" wrapText="1"/>
      <protection hidden="1"/>
    </xf>
    <xf numFmtId="0" fontId="162" fillId="12" borderId="12" xfId="0" applyFont="1" applyFill="1" applyBorder="1" applyAlignment="1" applyProtection="1">
      <alignment horizontal="center" vertical="center" wrapText="1"/>
      <protection hidden="1"/>
    </xf>
    <xf numFmtId="0" fontId="162" fillId="12" borderId="7" xfId="0" applyFont="1" applyFill="1" applyBorder="1" applyAlignment="1" applyProtection="1">
      <alignment horizontal="center" vertical="center" wrapText="1"/>
      <protection hidden="1"/>
    </xf>
    <xf numFmtId="0" fontId="52" fillId="5" borderId="22" xfId="0" applyFont="1" applyFill="1" applyBorder="1" applyAlignment="1" applyProtection="1">
      <alignment horizontal="left" vertical="center"/>
      <protection locked="0"/>
    </xf>
    <xf numFmtId="0" fontId="52" fillId="5" borderId="39" xfId="0" applyFont="1" applyFill="1" applyBorder="1" applyAlignment="1" applyProtection="1">
      <alignment horizontal="left" vertical="center"/>
      <protection locked="0"/>
    </xf>
    <xf numFmtId="0" fontId="52" fillId="5" borderId="8" xfId="0" applyFont="1" applyFill="1" applyBorder="1" applyAlignment="1" applyProtection="1">
      <alignment horizontal="left" vertical="center"/>
      <protection locked="0"/>
    </xf>
    <xf numFmtId="0" fontId="9" fillId="4" borderId="22" xfId="0" applyFont="1" applyFill="1" applyBorder="1" applyAlignment="1" applyProtection="1">
      <alignment horizontal="left" vertical="center"/>
      <protection hidden="1"/>
    </xf>
    <xf numFmtId="0" fontId="9" fillId="4" borderId="39" xfId="0" applyFont="1" applyFill="1" applyBorder="1" applyAlignment="1" applyProtection="1">
      <alignment horizontal="left" vertical="center"/>
      <protection hidden="1"/>
    </xf>
    <xf numFmtId="0" fontId="9" fillId="4" borderId="8" xfId="0" applyFont="1" applyFill="1" applyBorder="1" applyAlignment="1" applyProtection="1">
      <alignment horizontal="left" vertical="center"/>
      <protection hidden="1"/>
    </xf>
    <xf numFmtId="0" fontId="9" fillId="9" borderId="22" xfId="0" applyFont="1" applyFill="1" applyBorder="1" applyAlignment="1">
      <alignment horizontal="left" vertical="center"/>
    </xf>
    <xf numFmtId="0" fontId="9" fillId="9" borderId="8" xfId="0" applyFont="1" applyFill="1" applyBorder="1" applyAlignment="1">
      <alignment horizontal="left" vertical="center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72" fillId="2" borderId="6" xfId="0" applyFont="1" applyFill="1" applyBorder="1" applyAlignment="1" applyProtection="1">
      <alignment horizontal="center" vertical="center" wrapText="1"/>
      <protection hidden="1"/>
    </xf>
    <xf numFmtId="0" fontId="72" fillId="2" borderId="4" xfId="0" applyFont="1" applyFill="1" applyBorder="1" applyAlignment="1" applyProtection="1">
      <alignment horizontal="center" vertical="center" wrapText="1"/>
      <protection hidden="1"/>
    </xf>
    <xf numFmtId="0" fontId="71" fillId="11" borderId="9" xfId="0" applyFont="1" applyFill="1" applyBorder="1" applyAlignment="1">
      <alignment horizontal="center" vertical="center" wrapText="1"/>
    </xf>
    <xf numFmtId="0" fontId="71" fillId="11" borderId="10" xfId="0" applyFont="1" applyFill="1" applyBorder="1" applyAlignment="1">
      <alignment horizontal="center" vertical="center" wrapText="1"/>
    </xf>
    <xf numFmtId="0" fontId="71" fillId="11" borderId="6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66" fillId="13" borderId="22" xfId="0" applyFont="1" applyFill="1" applyBorder="1" applyAlignment="1" applyProtection="1">
      <alignment horizontal="left" vertical="center"/>
      <protection hidden="1"/>
    </xf>
    <xf numFmtId="0" fontId="66" fillId="13" borderId="39" xfId="0" applyFont="1" applyFill="1" applyBorder="1" applyAlignment="1" applyProtection="1">
      <alignment horizontal="left" vertical="center"/>
      <protection hidden="1"/>
    </xf>
    <xf numFmtId="0" fontId="66" fillId="13" borderId="8" xfId="0" applyFont="1" applyFill="1" applyBorder="1" applyAlignment="1" applyProtection="1">
      <alignment horizontal="left" vertical="center"/>
      <protection hidden="1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9" fillId="0" borderId="39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52" fillId="5" borderId="4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9" fillId="6" borderId="22" xfId="0" applyFont="1" applyFill="1" applyBorder="1" applyAlignment="1" applyProtection="1">
      <alignment horizontal="left" vertical="center"/>
    </xf>
    <xf numFmtId="0" fontId="9" fillId="6" borderId="39" xfId="0" applyFont="1" applyFill="1" applyBorder="1" applyAlignment="1" applyProtection="1">
      <alignment horizontal="left" vertical="center"/>
    </xf>
    <xf numFmtId="0" fontId="9" fillId="6" borderId="8" xfId="0" applyFont="1" applyFill="1" applyBorder="1" applyAlignment="1" applyProtection="1">
      <alignment horizontal="left" vertical="center"/>
    </xf>
    <xf numFmtId="49" fontId="9" fillId="0" borderId="22" xfId="0" applyNumberFormat="1" applyFont="1" applyBorder="1" applyAlignment="1" applyProtection="1">
      <alignment horizontal="left" vertical="center"/>
      <protection locked="0"/>
    </xf>
    <xf numFmtId="49" fontId="9" fillId="0" borderId="39" xfId="0" applyNumberFormat="1" applyFont="1" applyBorder="1" applyAlignment="1" applyProtection="1">
      <alignment horizontal="left" vertical="center"/>
      <protection locked="0"/>
    </xf>
    <xf numFmtId="49" fontId="9" fillId="0" borderId="8" xfId="0" applyNumberFormat="1" applyFont="1" applyBorder="1" applyAlignment="1" applyProtection="1">
      <alignment horizontal="left" vertical="center"/>
      <protection locked="0"/>
    </xf>
    <xf numFmtId="0" fontId="14" fillId="2" borderId="5" xfId="0" applyFont="1" applyFill="1" applyBorder="1" applyAlignment="1">
      <alignment horizontal="center" vertical="center" wrapText="1"/>
    </xf>
    <xf numFmtId="0" fontId="85" fillId="9" borderId="9" xfId="0" applyFont="1" applyFill="1" applyBorder="1" applyAlignment="1">
      <alignment horizontal="center" vertical="center"/>
    </xf>
    <xf numFmtId="0" fontId="85" fillId="9" borderId="6" xfId="0" applyFont="1" applyFill="1" applyBorder="1" applyAlignment="1">
      <alignment horizontal="center" vertical="center"/>
    </xf>
    <xf numFmtId="0" fontId="85" fillId="6" borderId="9" xfId="0" applyFont="1" applyFill="1" applyBorder="1" applyAlignment="1">
      <alignment horizontal="center" vertical="center"/>
    </xf>
    <xf numFmtId="0" fontId="85" fillId="6" borderId="6" xfId="0" applyFont="1" applyFill="1" applyBorder="1" applyAlignment="1">
      <alignment horizontal="center" vertical="center"/>
    </xf>
    <xf numFmtId="0" fontId="10" fillId="30" borderId="4" xfId="0" applyFont="1" applyFill="1" applyBorder="1" applyAlignment="1" applyProtection="1">
      <alignment horizontal="center" vertical="center" wrapText="1"/>
      <protection hidden="1"/>
    </xf>
    <xf numFmtId="0" fontId="14" fillId="9" borderId="137" xfId="0" applyFont="1" applyFill="1" applyBorder="1" applyAlignment="1">
      <alignment horizontal="center" vertical="center" wrapText="1"/>
    </xf>
    <xf numFmtId="0" fontId="14" fillId="9" borderId="58" xfId="0" applyFont="1" applyFill="1" applyBorder="1" applyAlignment="1">
      <alignment horizontal="center" vertical="center" wrapText="1"/>
    </xf>
    <xf numFmtId="0" fontId="72" fillId="15" borderId="137" xfId="0" applyFont="1" applyFill="1" applyBorder="1" applyAlignment="1">
      <alignment horizontal="center" vertical="center" wrapText="1"/>
    </xf>
    <xf numFmtId="0" fontId="72" fillId="15" borderId="138" xfId="0" applyFont="1" applyFill="1" applyBorder="1" applyAlignment="1">
      <alignment horizontal="center" vertical="center" wrapText="1"/>
    </xf>
    <xf numFmtId="0" fontId="72" fillId="15" borderId="58" xfId="0" applyFont="1" applyFill="1" applyBorder="1" applyAlignment="1">
      <alignment horizontal="center" vertical="center" wrapText="1"/>
    </xf>
    <xf numFmtId="0" fontId="12" fillId="0" borderId="22" xfId="0" applyFont="1" applyBorder="1" applyAlignment="1" applyProtection="1">
      <alignment horizontal="left" vertical="center"/>
      <protection locked="0"/>
    </xf>
    <xf numFmtId="0" fontId="12" fillId="0" borderId="39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right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1" fontId="9" fillId="0" borderId="22" xfId="0" applyNumberFormat="1" applyFont="1" applyBorder="1" applyAlignment="1" applyProtection="1">
      <alignment horizontal="left" vertical="center"/>
      <protection locked="0"/>
    </xf>
    <xf numFmtId="1" fontId="9" fillId="0" borderId="39" xfId="0" applyNumberFormat="1" applyFont="1" applyBorder="1" applyAlignment="1" applyProtection="1">
      <alignment horizontal="left" vertical="center"/>
      <protection locked="0"/>
    </xf>
    <xf numFmtId="1" fontId="9" fillId="0" borderId="8" xfId="0" applyNumberFormat="1" applyFont="1" applyBorder="1" applyAlignment="1" applyProtection="1">
      <alignment horizontal="left" vertical="center"/>
      <protection locked="0"/>
    </xf>
    <xf numFmtId="0" fontId="3" fillId="2" borderId="131" xfId="0" applyFont="1" applyFill="1" applyBorder="1" applyAlignment="1" applyProtection="1">
      <alignment horizontal="center" vertical="center" wrapText="1"/>
      <protection hidden="1"/>
    </xf>
    <xf numFmtId="0" fontId="3" fillId="2" borderId="132" xfId="0" applyFont="1" applyFill="1" applyBorder="1" applyAlignment="1" applyProtection="1">
      <alignment horizontal="center" vertical="center" wrapText="1"/>
      <protection hidden="1"/>
    </xf>
    <xf numFmtId="0" fontId="3" fillId="2" borderId="133" xfId="0" applyFont="1" applyFill="1" applyBorder="1" applyAlignment="1" applyProtection="1">
      <alignment horizontal="center" vertical="center" wrapText="1"/>
      <protection hidden="1"/>
    </xf>
    <xf numFmtId="0" fontId="84" fillId="14" borderId="129" xfId="0" applyNumberFormat="1" applyFont="1" applyFill="1" applyBorder="1" applyAlignment="1" applyProtection="1">
      <alignment horizontal="center" vertical="center"/>
      <protection hidden="1"/>
    </xf>
    <xf numFmtId="0" fontId="84" fillId="14" borderId="139" xfId="0" applyNumberFormat="1" applyFont="1" applyFill="1" applyBorder="1" applyAlignment="1" applyProtection="1">
      <alignment horizontal="center" vertical="center"/>
      <protection hidden="1"/>
    </xf>
    <xf numFmtId="0" fontId="84" fillId="14" borderId="130" xfId="0" applyNumberFormat="1" applyFont="1" applyFill="1" applyBorder="1" applyAlignment="1" applyProtection="1">
      <alignment horizontal="center" vertical="center"/>
      <protection hidden="1"/>
    </xf>
    <xf numFmtId="0" fontId="84" fillId="14" borderId="134" xfId="0" applyNumberFormat="1" applyFont="1" applyFill="1" applyBorder="1" applyAlignment="1" applyProtection="1">
      <alignment horizontal="center" vertical="center"/>
      <protection hidden="1"/>
    </xf>
    <xf numFmtId="0" fontId="84" fillId="14" borderId="186" xfId="0" applyNumberFormat="1" applyFont="1" applyFill="1" applyBorder="1" applyAlignment="1" applyProtection="1">
      <alignment horizontal="center" vertical="center"/>
      <protection hidden="1"/>
    </xf>
    <xf numFmtId="0" fontId="84" fillId="14" borderId="135" xfId="0" applyNumberFormat="1" applyFont="1" applyFill="1" applyBorder="1" applyAlignment="1" applyProtection="1">
      <alignment horizontal="center" vertical="center"/>
      <protection hidden="1"/>
    </xf>
    <xf numFmtId="0" fontId="3" fillId="12" borderId="131" xfId="0" applyFont="1" applyFill="1" applyBorder="1" applyAlignment="1">
      <alignment horizontal="left" vertical="center"/>
    </xf>
    <xf numFmtId="0" fontId="3" fillId="12" borderId="132" xfId="0" applyFont="1" applyFill="1" applyBorder="1" applyAlignment="1">
      <alignment horizontal="left" vertical="center"/>
    </xf>
    <xf numFmtId="0" fontId="3" fillId="12" borderId="133" xfId="0" applyFont="1" applyFill="1" applyBorder="1" applyAlignment="1">
      <alignment horizontal="left" vertical="center"/>
    </xf>
    <xf numFmtId="0" fontId="3" fillId="2" borderId="131" xfId="0" applyFont="1" applyFill="1" applyBorder="1" applyAlignment="1">
      <alignment horizontal="left" vertical="center"/>
    </xf>
    <xf numFmtId="0" fontId="3" fillId="2" borderId="132" xfId="0" applyFont="1" applyFill="1" applyBorder="1" applyAlignment="1">
      <alignment horizontal="left" vertical="center"/>
    </xf>
    <xf numFmtId="0" fontId="3" fillId="2" borderId="133" xfId="0" applyFont="1" applyFill="1" applyBorder="1" applyAlignment="1">
      <alignment horizontal="left" vertical="center"/>
    </xf>
    <xf numFmtId="0" fontId="78" fillId="0" borderId="5" xfId="0" applyFont="1" applyFill="1" applyBorder="1" applyAlignment="1" applyProtection="1">
      <alignment horizontal="center" vertical="center"/>
      <protection locked="0"/>
    </xf>
    <xf numFmtId="0" fontId="56" fillId="5" borderId="22" xfId="0" applyFont="1" applyFill="1" applyBorder="1" applyAlignment="1" applyProtection="1">
      <alignment horizontal="left" vertical="center"/>
      <protection hidden="1"/>
    </xf>
    <xf numFmtId="0" fontId="56" fillId="5" borderId="39" xfId="0" applyFont="1" applyFill="1" applyBorder="1" applyAlignment="1" applyProtection="1">
      <alignment horizontal="left" vertical="center"/>
      <protection hidden="1"/>
    </xf>
    <xf numFmtId="0" fontId="56" fillId="5" borderId="8" xfId="0" applyFont="1" applyFill="1" applyBorder="1" applyAlignment="1" applyProtection="1">
      <alignment horizontal="left" vertical="center"/>
      <protection hidden="1"/>
    </xf>
    <xf numFmtId="0" fontId="158" fillId="26" borderId="22" xfId="0" applyFont="1" applyFill="1" applyBorder="1" applyAlignment="1" applyProtection="1">
      <alignment horizontal="center" vertical="center"/>
      <protection hidden="1"/>
    </xf>
    <xf numFmtId="0" fontId="158" fillId="26" borderId="8" xfId="0" applyFont="1" applyFill="1" applyBorder="1" applyAlignment="1" applyProtection="1">
      <alignment horizontal="center" vertical="center"/>
      <protection hidden="1"/>
    </xf>
    <xf numFmtId="0" fontId="72" fillId="14" borderId="13" xfId="0" applyFont="1" applyFill="1" applyBorder="1" applyAlignment="1" applyProtection="1">
      <alignment horizontal="center" vertical="center" wrapText="1"/>
      <protection hidden="1"/>
    </xf>
    <xf numFmtId="0" fontId="72" fillId="14" borderId="14" xfId="0" applyFont="1" applyFill="1" applyBorder="1" applyAlignment="1" applyProtection="1">
      <alignment horizontal="center" vertical="center"/>
      <protection hidden="1"/>
    </xf>
    <xf numFmtId="0" fontId="72" fillId="14" borderId="15" xfId="0" applyFont="1" applyFill="1" applyBorder="1" applyAlignment="1" applyProtection="1">
      <alignment horizontal="center" vertical="center"/>
      <protection hidden="1"/>
    </xf>
    <xf numFmtId="0" fontId="72" fillId="14" borderId="16" xfId="0" applyFont="1" applyFill="1" applyBorder="1" applyAlignment="1" applyProtection="1">
      <alignment horizontal="center" vertical="center"/>
      <protection hidden="1"/>
    </xf>
    <xf numFmtId="0" fontId="72" fillId="14" borderId="128" xfId="0" applyFont="1" applyFill="1" applyBorder="1" applyAlignment="1" applyProtection="1">
      <alignment horizontal="center" vertical="center"/>
      <protection hidden="1"/>
    </xf>
    <xf numFmtId="0" fontId="72" fillId="14" borderId="7" xfId="0" applyFont="1" applyFill="1" applyBorder="1" applyAlignment="1" applyProtection="1">
      <alignment horizontal="center" vertical="center"/>
      <protection hidden="1"/>
    </xf>
    <xf numFmtId="0" fontId="3" fillId="6" borderId="131" xfId="0" applyFont="1" applyFill="1" applyBorder="1" applyAlignment="1">
      <alignment horizontal="left" vertical="center"/>
    </xf>
    <xf numFmtId="0" fontId="3" fillId="6" borderId="132" xfId="0" applyFont="1" applyFill="1" applyBorder="1" applyAlignment="1">
      <alignment horizontal="left" vertical="center"/>
    </xf>
    <xf numFmtId="0" fontId="3" fillId="6" borderId="133" xfId="0" applyFont="1" applyFill="1" applyBorder="1" applyAlignment="1">
      <alignment horizontal="left" vertical="center"/>
    </xf>
    <xf numFmtId="0" fontId="88" fillId="9" borderId="5" xfId="0" applyFont="1" applyFill="1" applyBorder="1" applyAlignment="1" applyProtection="1">
      <alignment horizontal="center" vertical="center"/>
      <protection hidden="1"/>
    </xf>
    <xf numFmtId="0" fontId="88" fillId="9" borderId="131" xfId="0" applyFont="1" applyFill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183" fillId="6" borderId="13" xfId="0" applyFont="1" applyFill="1" applyBorder="1" applyAlignment="1" applyProtection="1">
      <alignment horizontal="center"/>
      <protection hidden="1"/>
    </xf>
    <xf numFmtId="0" fontId="183" fillId="6" borderId="11" xfId="0" applyFont="1" applyFill="1" applyBorder="1" applyAlignment="1" applyProtection="1">
      <alignment horizontal="center"/>
      <protection hidden="1"/>
    </xf>
    <xf numFmtId="0" fontId="183" fillId="6" borderId="14" xfId="0" applyFont="1" applyFill="1" applyBorder="1" applyAlignment="1" applyProtection="1">
      <alignment horizontal="center"/>
      <protection hidden="1"/>
    </xf>
    <xf numFmtId="0" fontId="185" fillId="6" borderId="15" xfId="0" applyFont="1" applyFill="1" applyBorder="1" applyAlignment="1">
      <alignment horizontal="center"/>
    </xf>
    <xf numFmtId="0" fontId="185" fillId="6" borderId="0" xfId="0" applyFont="1" applyFill="1" applyBorder="1" applyAlignment="1">
      <alignment horizontal="center"/>
    </xf>
    <xf numFmtId="0" fontId="185" fillId="6" borderId="16" xfId="0" applyFont="1" applyFill="1" applyBorder="1" applyAlignment="1">
      <alignment horizontal="center"/>
    </xf>
    <xf numFmtId="0" fontId="184" fillId="6" borderId="15" xfId="0" applyFont="1" applyFill="1" applyBorder="1" applyAlignment="1">
      <alignment horizontal="center"/>
    </xf>
    <xf numFmtId="0" fontId="184" fillId="6" borderId="0" xfId="0" applyFont="1" applyFill="1" applyBorder="1" applyAlignment="1">
      <alignment horizontal="center"/>
    </xf>
    <xf numFmtId="0" fontId="184" fillId="6" borderId="16" xfId="0" applyFont="1" applyFill="1" applyBorder="1" applyAlignment="1">
      <alignment horizontal="center"/>
    </xf>
    <xf numFmtId="0" fontId="185" fillId="6" borderId="128" xfId="0" applyFont="1" applyFill="1" applyBorder="1" applyAlignment="1">
      <alignment horizontal="center"/>
    </xf>
    <xf numFmtId="0" fontId="185" fillId="6" borderId="12" xfId="0" applyFont="1" applyFill="1" applyBorder="1" applyAlignment="1">
      <alignment horizontal="center"/>
    </xf>
    <xf numFmtId="0" fontId="185" fillId="6" borderId="116" xfId="0" applyFont="1" applyFill="1" applyBorder="1" applyAlignment="1">
      <alignment horizontal="center"/>
    </xf>
    <xf numFmtId="0" fontId="84" fillId="14" borderId="5" xfId="0" applyFont="1" applyFill="1" applyBorder="1" applyAlignment="1" applyProtection="1">
      <alignment horizontal="right" vertical="center"/>
      <protection hidden="1"/>
    </xf>
    <xf numFmtId="0" fontId="171" fillId="15" borderId="22" xfId="0" applyFont="1" applyFill="1" applyBorder="1" applyAlignment="1" applyProtection="1">
      <alignment horizontal="left" vertical="center"/>
      <protection hidden="1"/>
    </xf>
    <xf numFmtId="0" fontId="171" fillId="15" borderId="39" xfId="0" applyFont="1" applyFill="1" applyBorder="1" applyAlignment="1" applyProtection="1">
      <alignment horizontal="left" vertical="center"/>
      <protection hidden="1"/>
    </xf>
    <xf numFmtId="0" fontId="171" fillId="15" borderId="8" xfId="0" applyFont="1" applyFill="1" applyBorder="1" applyAlignment="1" applyProtection="1">
      <alignment horizontal="left" vertical="center"/>
      <protection hidden="1"/>
    </xf>
    <xf numFmtId="0" fontId="164" fillId="24" borderId="22" xfId="0" applyFont="1" applyFill="1" applyBorder="1" applyAlignment="1" applyProtection="1">
      <alignment horizontal="left" vertical="center"/>
      <protection hidden="1"/>
    </xf>
    <xf numFmtId="0" fontId="164" fillId="24" borderId="39" xfId="0" applyFont="1" applyFill="1" applyBorder="1" applyAlignment="1" applyProtection="1">
      <alignment horizontal="left" vertical="center"/>
      <protection hidden="1"/>
    </xf>
    <xf numFmtId="0" fontId="164" fillId="24" borderId="8" xfId="0" applyFont="1" applyFill="1" applyBorder="1" applyAlignment="1" applyProtection="1">
      <alignment horizontal="left" vertical="center"/>
      <protection hidden="1"/>
    </xf>
    <xf numFmtId="0" fontId="3" fillId="28" borderId="4" xfId="0" applyFont="1" applyFill="1" applyBorder="1" applyAlignment="1" applyProtection="1">
      <alignment horizontal="left" vertical="center"/>
      <protection hidden="1"/>
    </xf>
    <xf numFmtId="0" fontId="3" fillId="10" borderId="4" xfId="0" applyFont="1" applyFill="1" applyBorder="1" applyAlignment="1" applyProtection="1">
      <alignment horizontal="left" vertical="center"/>
      <protection hidden="1"/>
    </xf>
    <xf numFmtId="0" fontId="3" fillId="11" borderId="4" xfId="0" applyFont="1" applyFill="1" applyBorder="1" applyAlignment="1" applyProtection="1">
      <alignment horizontal="left" vertical="center"/>
      <protection hidden="1"/>
    </xf>
    <xf numFmtId="0" fontId="164" fillId="23" borderId="4" xfId="0" applyFont="1" applyFill="1" applyBorder="1" applyAlignment="1">
      <alignment horizontal="left" vertical="center"/>
    </xf>
    <xf numFmtId="0" fontId="80" fillId="12" borderId="13" xfId="0" applyFont="1" applyFill="1" applyBorder="1" applyAlignment="1" applyProtection="1">
      <alignment horizontal="center" vertical="center" wrapText="1"/>
      <protection hidden="1"/>
    </xf>
    <xf numFmtId="0" fontId="80" fillId="12" borderId="11" xfId="0" applyFont="1" applyFill="1" applyBorder="1" applyAlignment="1" applyProtection="1">
      <alignment horizontal="center" vertical="center" wrapText="1"/>
      <protection hidden="1"/>
    </xf>
    <xf numFmtId="0" fontId="80" fillId="12" borderId="14" xfId="0" applyFont="1" applyFill="1" applyBorder="1" applyAlignment="1" applyProtection="1">
      <alignment horizontal="center" vertical="center" wrapText="1"/>
      <protection hidden="1"/>
    </xf>
    <xf numFmtId="0" fontId="80" fillId="12" borderId="15" xfId="0" applyFont="1" applyFill="1" applyBorder="1" applyAlignment="1" applyProtection="1">
      <alignment horizontal="center" vertical="center" wrapText="1"/>
      <protection hidden="1"/>
    </xf>
    <xf numFmtId="0" fontId="80" fillId="12" borderId="0" xfId="0" applyFont="1" applyFill="1" applyBorder="1" applyAlignment="1" applyProtection="1">
      <alignment horizontal="center" vertical="center" wrapText="1"/>
      <protection hidden="1"/>
    </xf>
    <xf numFmtId="0" fontId="80" fillId="12" borderId="16" xfId="0" applyFont="1" applyFill="1" applyBorder="1" applyAlignment="1" applyProtection="1">
      <alignment horizontal="center" vertical="center" wrapText="1"/>
      <protection hidden="1"/>
    </xf>
    <xf numFmtId="0" fontId="80" fillId="12" borderId="128" xfId="0" applyFont="1" applyFill="1" applyBorder="1" applyAlignment="1" applyProtection="1">
      <alignment horizontal="center" vertical="center" wrapText="1"/>
      <protection hidden="1"/>
    </xf>
    <xf numFmtId="0" fontId="80" fillId="12" borderId="12" xfId="0" applyFont="1" applyFill="1" applyBorder="1" applyAlignment="1" applyProtection="1">
      <alignment horizontal="center" vertical="center" wrapText="1"/>
      <protection hidden="1"/>
    </xf>
    <xf numFmtId="0" fontId="80" fillId="12" borderId="116" xfId="0" applyFont="1" applyFill="1" applyBorder="1" applyAlignment="1" applyProtection="1">
      <alignment horizontal="center" vertical="center" wrapText="1"/>
      <protection hidden="1"/>
    </xf>
    <xf numFmtId="0" fontId="72" fillId="15" borderId="4" xfId="0" applyFont="1" applyFill="1" applyBorder="1" applyAlignment="1" applyProtection="1">
      <alignment horizontal="left" vertical="center"/>
      <protection hidden="1"/>
    </xf>
    <xf numFmtId="0" fontId="85" fillId="6" borderId="9" xfId="0" applyFont="1" applyFill="1" applyBorder="1" applyAlignment="1">
      <alignment horizontal="center" vertical="center" wrapText="1"/>
    </xf>
    <xf numFmtId="0" fontId="85" fillId="6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12" fillId="10" borderId="22" xfId="0" applyFont="1" applyFill="1" applyBorder="1" applyAlignment="1" applyProtection="1">
      <alignment horizontal="center" vertical="center"/>
      <protection hidden="1"/>
    </xf>
    <xf numFmtId="0" fontId="12" fillId="10" borderId="39" xfId="0" applyFont="1" applyFill="1" applyBorder="1" applyAlignment="1" applyProtection="1">
      <alignment horizontal="center" vertical="center"/>
      <protection hidden="1"/>
    </xf>
    <xf numFmtId="0" fontId="12" fillId="10" borderId="8" xfId="0" applyFont="1" applyFill="1" applyBorder="1" applyAlignment="1" applyProtection="1">
      <alignment horizontal="center" vertical="center"/>
      <protection hidden="1"/>
    </xf>
    <xf numFmtId="0" fontId="76" fillId="11" borderId="9" xfId="0" applyFont="1" applyFill="1" applyBorder="1" applyAlignment="1">
      <alignment horizontal="center" vertical="center" wrapText="1"/>
    </xf>
    <xf numFmtId="0" fontId="76" fillId="11" borderId="1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 applyProtection="1">
      <alignment horizontal="right"/>
      <protection hidden="1"/>
    </xf>
    <xf numFmtId="0" fontId="28" fillId="0" borderId="11" xfId="0" applyFont="1" applyBorder="1" applyAlignment="1" applyProtection="1">
      <alignment horizontal="right" vertical="center"/>
      <protection hidden="1"/>
    </xf>
    <xf numFmtId="0" fontId="11" fillId="0" borderId="22" xfId="0" applyFont="1" applyFill="1" applyBorder="1" applyAlignment="1" applyProtection="1">
      <alignment horizontal="center" vertical="center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0" fontId="11" fillId="0" borderId="8" xfId="0" applyFont="1" applyFill="1" applyBorder="1" applyAlignment="1" applyProtection="1">
      <alignment horizontal="center" vertical="center"/>
      <protection hidden="1"/>
    </xf>
    <xf numFmtId="0" fontId="9" fillId="14" borderId="4" xfId="0" applyFont="1" applyFill="1" applyBorder="1" applyAlignment="1" applyProtection="1">
      <alignment horizontal="left" vertical="center"/>
      <protection hidden="1"/>
    </xf>
    <xf numFmtId="0" fontId="129" fillId="0" borderId="39" xfId="0" applyFont="1" applyFill="1" applyBorder="1" applyAlignment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86" fillId="13" borderId="13" xfId="0" applyFont="1" applyFill="1" applyBorder="1" applyAlignment="1" applyProtection="1">
      <alignment horizontal="center" vertical="center" wrapText="1"/>
      <protection hidden="1"/>
    </xf>
    <xf numFmtId="0" fontId="186" fillId="13" borderId="11" xfId="0" applyFont="1" applyFill="1" applyBorder="1" applyAlignment="1" applyProtection="1">
      <alignment horizontal="center" vertical="center"/>
      <protection hidden="1"/>
    </xf>
    <xf numFmtId="0" fontId="186" fillId="13" borderId="14" xfId="0" applyFont="1" applyFill="1" applyBorder="1" applyAlignment="1" applyProtection="1">
      <alignment horizontal="center" vertical="center"/>
      <protection hidden="1"/>
    </xf>
    <xf numFmtId="0" fontId="186" fillId="13" borderId="128" xfId="0" applyFont="1" applyFill="1" applyBorder="1" applyAlignment="1" applyProtection="1">
      <alignment horizontal="center" vertical="center"/>
      <protection hidden="1"/>
    </xf>
    <xf numFmtId="0" fontId="186" fillId="13" borderId="12" xfId="0" applyFont="1" applyFill="1" applyBorder="1" applyAlignment="1" applyProtection="1">
      <alignment horizontal="center" vertical="center"/>
      <protection hidden="1"/>
    </xf>
    <xf numFmtId="0" fontId="186" fillId="13" borderId="116" xfId="0" applyFont="1" applyFill="1" applyBorder="1" applyAlignment="1" applyProtection="1">
      <alignment horizontal="center" vertical="center"/>
      <protection hidden="1"/>
    </xf>
    <xf numFmtId="0" fontId="26" fillId="3" borderId="13" xfId="0" applyFont="1" applyFill="1" applyBorder="1" applyAlignment="1" applyProtection="1">
      <alignment horizontal="center" vertical="center" wrapText="1"/>
      <protection hidden="1"/>
    </xf>
    <xf numFmtId="0" fontId="26" fillId="3" borderId="11" xfId="0" applyFont="1" applyFill="1" applyBorder="1" applyAlignment="1" applyProtection="1">
      <alignment horizontal="center" vertical="center" wrapText="1"/>
      <protection hidden="1"/>
    </xf>
    <xf numFmtId="0" fontId="26" fillId="3" borderId="14" xfId="0" applyFont="1" applyFill="1" applyBorder="1" applyAlignment="1" applyProtection="1">
      <alignment horizontal="center" vertical="center" wrapText="1"/>
      <protection hidden="1"/>
    </xf>
    <xf numFmtId="0" fontId="26" fillId="3" borderId="15" xfId="0" applyFont="1" applyFill="1" applyBorder="1" applyAlignment="1" applyProtection="1">
      <alignment horizontal="center" vertical="center" wrapText="1"/>
      <protection hidden="1"/>
    </xf>
    <xf numFmtId="0" fontId="26" fillId="3" borderId="0" xfId="0" applyFont="1" applyFill="1" applyBorder="1" applyAlignment="1" applyProtection="1">
      <alignment horizontal="center" vertical="center" wrapText="1"/>
      <protection hidden="1"/>
    </xf>
    <xf numFmtId="0" fontId="26" fillId="3" borderId="16" xfId="0" applyFont="1" applyFill="1" applyBorder="1" applyAlignment="1" applyProtection="1">
      <alignment horizontal="center" vertical="center" wrapText="1"/>
      <protection hidden="1"/>
    </xf>
    <xf numFmtId="0" fontId="26" fillId="3" borderId="128" xfId="0" applyFont="1" applyFill="1" applyBorder="1" applyAlignment="1" applyProtection="1">
      <alignment horizontal="center" vertical="center" wrapText="1"/>
      <protection hidden="1"/>
    </xf>
    <xf numFmtId="0" fontId="26" fillId="3" borderId="12" xfId="0" applyFont="1" applyFill="1" applyBorder="1" applyAlignment="1" applyProtection="1">
      <alignment horizontal="center" vertical="center" wrapText="1"/>
      <protection hidden="1"/>
    </xf>
    <xf numFmtId="0" fontId="26" fillId="3" borderId="116" xfId="0" applyFont="1" applyFill="1" applyBorder="1" applyAlignment="1" applyProtection="1">
      <alignment horizontal="center" vertical="center" wrapText="1"/>
      <protection hidden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2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16" xfId="0" applyFont="1" applyFill="1" applyBorder="1" applyAlignment="1">
      <alignment horizontal="center" vertical="center" wrapText="1"/>
    </xf>
    <xf numFmtId="0" fontId="79" fillId="5" borderId="0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 applyProtection="1">
      <alignment horizontal="right"/>
      <protection hidden="1"/>
    </xf>
    <xf numFmtId="0" fontId="12" fillId="14" borderId="4" xfId="0" applyFont="1" applyFill="1" applyBorder="1" applyAlignment="1" applyProtection="1">
      <alignment horizontal="center"/>
      <protection hidden="1"/>
    </xf>
    <xf numFmtId="0" fontId="0" fillId="0" borderId="4" xfId="0" applyFill="1" applyBorder="1" applyAlignment="1">
      <alignment horizontal="center"/>
    </xf>
    <xf numFmtId="0" fontId="26" fillId="29" borderId="13" xfId="0" applyFont="1" applyFill="1" applyBorder="1" applyAlignment="1" applyProtection="1">
      <alignment horizontal="center" vertical="center" wrapText="1"/>
      <protection hidden="1"/>
    </xf>
    <xf numFmtId="0" fontId="26" fillId="29" borderId="11" xfId="0" applyFont="1" applyFill="1" applyBorder="1" applyAlignment="1" applyProtection="1">
      <alignment horizontal="center" vertical="center" wrapText="1"/>
      <protection hidden="1"/>
    </xf>
    <xf numFmtId="0" fontId="26" fillId="29" borderId="14" xfId="0" applyFont="1" applyFill="1" applyBorder="1" applyAlignment="1" applyProtection="1">
      <alignment horizontal="center" vertical="center" wrapText="1"/>
      <protection hidden="1"/>
    </xf>
    <xf numFmtId="0" fontId="26" fillId="29" borderId="15" xfId="0" applyFont="1" applyFill="1" applyBorder="1" applyAlignment="1" applyProtection="1">
      <alignment horizontal="center" vertical="center" wrapText="1"/>
      <protection hidden="1"/>
    </xf>
    <xf numFmtId="0" fontId="26" fillId="29" borderId="0" xfId="0" applyFont="1" applyFill="1" applyBorder="1" applyAlignment="1" applyProtection="1">
      <alignment horizontal="center" vertical="center" wrapText="1"/>
      <protection hidden="1"/>
    </xf>
    <xf numFmtId="0" fontId="26" fillId="29" borderId="16" xfId="0" applyFont="1" applyFill="1" applyBorder="1" applyAlignment="1" applyProtection="1">
      <alignment horizontal="center" vertical="center" wrapText="1"/>
      <protection hidden="1"/>
    </xf>
    <xf numFmtId="0" fontId="26" fillId="29" borderId="128" xfId="0" applyFont="1" applyFill="1" applyBorder="1" applyAlignment="1" applyProtection="1">
      <alignment horizontal="center" vertical="center" wrapText="1"/>
      <protection hidden="1"/>
    </xf>
    <xf numFmtId="0" fontId="26" fillId="29" borderId="12" xfId="0" applyFont="1" applyFill="1" applyBorder="1" applyAlignment="1" applyProtection="1">
      <alignment horizontal="center" vertical="center" wrapText="1"/>
      <protection hidden="1"/>
    </xf>
    <xf numFmtId="0" fontId="26" fillId="29" borderId="116" xfId="0" applyFont="1" applyFill="1" applyBorder="1" applyAlignment="1" applyProtection="1">
      <alignment horizontal="center" vertical="center" wrapText="1"/>
      <protection hidden="1"/>
    </xf>
    <xf numFmtId="0" fontId="53" fillId="5" borderId="13" xfId="0" applyFont="1" applyFill="1" applyBorder="1" applyAlignment="1">
      <alignment horizontal="center" vertical="center" wrapText="1"/>
    </xf>
    <xf numFmtId="0" fontId="53" fillId="5" borderId="11" xfId="0" applyFont="1" applyFill="1" applyBorder="1" applyAlignment="1">
      <alignment horizontal="center" vertical="center" wrapText="1"/>
    </xf>
    <xf numFmtId="0" fontId="53" fillId="5" borderId="14" xfId="0" applyFont="1" applyFill="1" applyBorder="1" applyAlignment="1">
      <alignment horizontal="center" vertical="center" wrapText="1"/>
    </xf>
    <xf numFmtId="0" fontId="53" fillId="5" borderId="15" xfId="0" applyFont="1" applyFill="1" applyBorder="1" applyAlignment="1">
      <alignment horizontal="center" vertical="center" wrapText="1"/>
    </xf>
    <xf numFmtId="0" fontId="53" fillId="5" borderId="0" xfId="0" applyFont="1" applyFill="1" applyBorder="1" applyAlignment="1">
      <alignment horizontal="center" vertical="center" wrapText="1"/>
    </xf>
    <xf numFmtId="0" fontId="53" fillId="5" borderId="16" xfId="0" applyFont="1" applyFill="1" applyBorder="1" applyAlignment="1">
      <alignment horizontal="center" vertical="center" wrapText="1"/>
    </xf>
    <xf numFmtId="0" fontId="53" fillId="5" borderId="128" xfId="0" applyFont="1" applyFill="1" applyBorder="1" applyAlignment="1">
      <alignment horizontal="center" vertical="center" wrapText="1"/>
    </xf>
    <xf numFmtId="0" fontId="53" fillId="5" borderId="12" xfId="0" applyFont="1" applyFill="1" applyBorder="1" applyAlignment="1">
      <alignment horizontal="center" vertical="center" wrapText="1"/>
    </xf>
    <xf numFmtId="0" fontId="53" fillId="5" borderId="116" xfId="0" applyFont="1" applyFill="1" applyBorder="1" applyAlignment="1">
      <alignment horizontal="center" vertical="center" wrapText="1"/>
    </xf>
    <xf numFmtId="0" fontId="156" fillId="9" borderId="13" xfId="0" applyFont="1" applyFill="1" applyBorder="1" applyAlignment="1" applyProtection="1">
      <alignment horizontal="center" vertical="center" wrapText="1"/>
      <protection hidden="1"/>
    </xf>
    <xf numFmtId="0" fontId="156" fillId="9" borderId="11" xfId="0" applyFont="1" applyFill="1" applyBorder="1" applyAlignment="1" applyProtection="1">
      <alignment horizontal="center" vertical="center" wrapText="1"/>
      <protection hidden="1"/>
    </xf>
    <xf numFmtId="0" fontId="156" fillId="9" borderId="14" xfId="0" applyFont="1" applyFill="1" applyBorder="1" applyAlignment="1" applyProtection="1">
      <alignment horizontal="center" vertical="center" wrapText="1"/>
      <protection hidden="1"/>
    </xf>
    <xf numFmtId="0" fontId="156" fillId="9" borderId="15" xfId="0" applyFont="1" applyFill="1" applyBorder="1" applyAlignment="1" applyProtection="1">
      <alignment horizontal="center" vertical="center" wrapText="1"/>
      <protection hidden="1"/>
    </xf>
    <xf numFmtId="0" fontId="156" fillId="9" borderId="0" xfId="0" applyFont="1" applyFill="1" applyBorder="1" applyAlignment="1" applyProtection="1">
      <alignment horizontal="center" vertical="center" wrapText="1"/>
      <protection hidden="1"/>
    </xf>
    <xf numFmtId="0" fontId="156" fillId="9" borderId="16" xfId="0" applyFont="1" applyFill="1" applyBorder="1" applyAlignment="1" applyProtection="1">
      <alignment horizontal="center" vertical="center" wrapText="1"/>
      <protection hidden="1"/>
    </xf>
    <xf numFmtId="0" fontId="156" fillId="9" borderId="128" xfId="0" applyFont="1" applyFill="1" applyBorder="1" applyAlignment="1" applyProtection="1">
      <alignment horizontal="center" vertical="center" wrapText="1"/>
      <protection hidden="1"/>
    </xf>
    <xf numFmtId="0" fontId="156" fillId="9" borderId="12" xfId="0" applyFont="1" applyFill="1" applyBorder="1" applyAlignment="1" applyProtection="1">
      <alignment horizontal="center" vertical="center" wrapText="1"/>
      <protection hidden="1"/>
    </xf>
    <xf numFmtId="0" fontId="156" fillId="9" borderId="116" xfId="0" applyFont="1" applyFill="1" applyBorder="1" applyAlignment="1" applyProtection="1">
      <alignment horizontal="center" vertical="center" wrapText="1"/>
      <protection hidden="1"/>
    </xf>
    <xf numFmtId="49" fontId="9" fillId="0" borderId="4" xfId="0" applyNumberFormat="1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center" wrapText="1"/>
      <protection hidden="1"/>
    </xf>
    <xf numFmtId="0" fontId="9" fillId="0" borderId="128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16" xfId="0" applyFont="1" applyFill="1" applyBorder="1" applyAlignment="1" applyProtection="1">
      <alignment horizontal="center" vertical="center" wrapText="1"/>
      <protection hidden="1"/>
    </xf>
    <xf numFmtId="0" fontId="12" fillId="0" borderId="20" xfId="7" applyFont="1" applyBorder="1" applyAlignment="1" applyProtection="1">
      <alignment horizontal="left"/>
      <protection hidden="1"/>
    </xf>
    <xf numFmtId="0" fontId="12" fillId="0" borderId="31" xfId="7" applyFont="1" applyBorder="1" applyAlignment="1" applyProtection="1">
      <alignment horizontal="left"/>
      <protection hidden="1"/>
    </xf>
    <xf numFmtId="0" fontId="39" fillId="0" borderId="37" xfId="7" applyNumberFormat="1" applyFont="1" applyFill="1" applyBorder="1" applyAlignment="1" applyProtection="1">
      <alignment horizontal="center" vertical="center"/>
      <protection hidden="1"/>
    </xf>
    <xf numFmtId="0" fontId="39" fillId="0" borderId="36" xfId="7" applyNumberFormat="1" applyFont="1" applyFill="1" applyBorder="1" applyAlignment="1" applyProtection="1">
      <alignment horizontal="center" vertical="center"/>
      <protection hidden="1"/>
    </xf>
    <xf numFmtId="0" fontId="40" fillId="0" borderId="34" xfId="7" applyFont="1" applyFill="1" applyBorder="1" applyAlignment="1" applyProtection="1">
      <alignment horizontal="center" vertical="center"/>
      <protection hidden="1"/>
    </xf>
    <xf numFmtId="0" fontId="40" fillId="0" borderId="33" xfId="7" applyFont="1" applyFill="1" applyBorder="1" applyAlignment="1" applyProtection="1">
      <alignment horizontal="center" vertical="center"/>
      <protection hidden="1"/>
    </xf>
    <xf numFmtId="0" fontId="3" fillId="0" borderId="20" xfId="7" applyFont="1" applyBorder="1" applyAlignment="1" applyProtection="1">
      <alignment horizontal="left"/>
      <protection hidden="1"/>
    </xf>
    <xf numFmtId="0" fontId="3" fillId="0" borderId="31" xfId="7" applyFont="1" applyBorder="1" applyAlignment="1" applyProtection="1">
      <alignment horizontal="left"/>
      <protection hidden="1"/>
    </xf>
    <xf numFmtId="0" fontId="34" fillId="0" borderId="27" xfId="7" applyFont="1" applyBorder="1" applyAlignment="1" applyProtection="1">
      <alignment horizontal="left"/>
      <protection hidden="1"/>
    </xf>
    <xf numFmtId="0" fontId="34" fillId="0" borderId="26" xfId="7" applyFont="1" applyBorder="1" applyAlignment="1" applyProtection="1">
      <alignment horizontal="left"/>
      <protection hidden="1"/>
    </xf>
    <xf numFmtId="1" fontId="8" fillId="0" borderId="27" xfId="7" applyNumberFormat="1" applyFont="1" applyBorder="1" applyAlignment="1" applyProtection="1">
      <alignment horizontal="left"/>
      <protection hidden="1"/>
    </xf>
    <xf numFmtId="0" fontId="8" fillId="0" borderId="26" xfId="7" applyFont="1" applyBorder="1" applyAlignment="1" applyProtection="1">
      <alignment horizontal="left"/>
      <protection hidden="1"/>
    </xf>
    <xf numFmtId="0" fontId="33" fillId="0" borderId="27" xfId="7" applyFont="1" applyBorder="1" applyAlignment="1" applyProtection="1">
      <alignment horizontal="center"/>
      <protection hidden="1"/>
    </xf>
    <xf numFmtId="0" fontId="33" fillId="0" borderId="26" xfId="7" applyFont="1" applyBorder="1" applyAlignment="1" applyProtection="1">
      <alignment horizontal="center"/>
      <protection hidden="1"/>
    </xf>
    <xf numFmtId="1" fontId="34" fillId="0" borderId="24" xfId="7" applyNumberFormat="1" applyFont="1" applyBorder="1" applyAlignment="1" applyProtection="1">
      <alignment horizontal="center"/>
      <protection hidden="1"/>
    </xf>
    <xf numFmtId="0" fontId="38" fillId="0" borderId="37" xfId="7" applyFont="1" applyBorder="1" applyAlignment="1" applyProtection="1">
      <alignment horizontal="center" vertical="center"/>
    </xf>
    <xf numFmtId="0" fontId="36" fillId="0" borderId="39" xfId="1" applyFont="1" applyFill="1" applyBorder="1" applyAlignment="1" applyProtection="1">
      <alignment horizontal="center" vertical="center"/>
      <protection hidden="1"/>
    </xf>
    <xf numFmtId="0" fontId="36" fillId="0" borderId="8" xfId="1" applyFont="1" applyFill="1" applyBorder="1" applyAlignment="1" applyProtection="1">
      <alignment horizontal="center" vertical="center"/>
      <protection hidden="1"/>
    </xf>
    <xf numFmtId="0" fontId="24" fillId="0" borderId="39" xfId="1" applyFont="1" applyFill="1" applyBorder="1" applyAlignment="1" applyProtection="1">
      <alignment horizontal="left" vertical="center"/>
      <protection hidden="1"/>
    </xf>
    <xf numFmtId="0" fontId="36" fillId="0" borderId="39" xfId="1" applyFont="1" applyFill="1" applyBorder="1" applyAlignment="1" applyProtection="1">
      <alignment horizontal="left" vertical="center"/>
      <protection hidden="1"/>
    </xf>
    <xf numFmtId="0" fontId="36" fillId="0" borderId="8" xfId="1" applyFont="1" applyFill="1" applyBorder="1" applyAlignment="1" applyProtection="1">
      <alignment horizontal="left" vertical="center"/>
      <protection hidden="1"/>
    </xf>
    <xf numFmtId="0" fontId="73" fillId="0" borderId="4" xfId="1" applyFont="1" applyFill="1" applyBorder="1" applyAlignment="1" applyProtection="1">
      <alignment horizontal="right" vertical="center"/>
      <protection hidden="1"/>
    </xf>
    <xf numFmtId="0" fontId="3" fillId="6" borderId="4" xfId="1" applyFont="1" applyFill="1" applyBorder="1" applyAlignment="1" applyProtection="1">
      <alignment horizontal="center" vertical="center"/>
      <protection hidden="1"/>
    </xf>
    <xf numFmtId="0" fontId="29" fillId="0" borderId="4" xfId="1" applyFont="1" applyFill="1" applyBorder="1" applyAlignment="1" applyProtection="1">
      <alignment horizontal="right" vertical="center"/>
      <protection hidden="1"/>
    </xf>
    <xf numFmtId="0" fontId="29" fillId="11" borderId="8" xfId="1" applyFont="1" applyFill="1" applyBorder="1" applyAlignment="1" applyProtection="1">
      <alignment horizontal="center" vertical="center"/>
      <protection hidden="1"/>
    </xf>
    <xf numFmtId="0" fontId="29" fillId="11" borderId="4" xfId="1" applyFont="1" applyFill="1" applyBorder="1" applyAlignment="1" applyProtection="1">
      <alignment horizontal="center" vertical="center"/>
      <protection hidden="1"/>
    </xf>
    <xf numFmtId="0" fontId="42" fillId="0" borderId="51" xfId="1" applyFont="1" applyFill="1" applyBorder="1" applyAlignment="1" applyProtection="1">
      <alignment horizontal="left" vertical="center"/>
      <protection hidden="1"/>
    </xf>
    <xf numFmtId="0" fontId="42" fillId="0" borderId="39" xfId="1" applyFont="1" applyFill="1" applyBorder="1" applyAlignment="1" applyProtection="1">
      <alignment horizontal="left" vertical="center"/>
      <protection hidden="1"/>
    </xf>
    <xf numFmtId="0" fontId="3" fillId="0" borderId="51" xfId="1" applyFont="1" applyFill="1" applyBorder="1" applyAlignment="1" applyProtection="1">
      <alignment horizontal="left" vertical="center"/>
      <protection hidden="1"/>
    </xf>
    <xf numFmtId="0" fontId="3" fillId="0" borderId="39" xfId="1" applyFont="1" applyFill="1" applyBorder="1" applyAlignment="1" applyProtection="1">
      <alignment horizontal="left" vertical="center"/>
      <protection hidden="1"/>
    </xf>
    <xf numFmtId="0" fontId="131" fillId="0" borderId="22" xfId="1" applyFont="1" applyBorder="1" applyAlignment="1" applyProtection="1">
      <alignment horizontal="center" vertical="center"/>
      <protection hidden="1"/>
    </xf>
    <xf numFmtId="0" fontId="131" fillId="0" borderId="39" xfId="1" applyFont="1" applyBorder="1" applyAlignment="1" applyProtection="1">
      <alignment horizontal="center" vertical="center"/>
      <protection hidden="1"/>
    </xf>
    <xf numFmtId="0" fontId="36" fillId="0" borderId="12" xfId="1" applyFont="1" applyFill="1" applyBorder="1" applyAlignment="1" applyProtection="1">
      <alignment horizontal="left" vertical="center"/>
      <protection hidden="1"/>
    </xf>
    <xf numFmtId="0" fontId="47" fillId="0" borderId="51" xfId="1" applyFont="1" applyFill="1" applyBorder="1" applyAlignment="1" applyProtection="1">
      <alignment horizontal="left" vertical="center"/>
      <protection hidden="1"/>
    </xf>
    <xf numFmtId="0" fontId="47" fillId="0" borderId="39" xfId="1" applyFont="1" applyFill="1" applyBorder="1" applyAlignment="1" applyProtection="1">
      <alignment horizontal="left" vertical="center"/>
      <protection hidden="1"/>
    </xf>
    <xf numFmtId="0" fontId="47" fillId="0" borderId="8" xfId="1" applyFont="1" applyFill="1" applyBorder="1" applyAlignment="1" applyProtection="1">
      <alignment horizontal="left" vertical="center"/>
      <protection hidden="1"/>
    </xf>
    <xf numFmtId="0" fontId="9" fillId="0" borderId="39" xfId="1" applyFont="1" applyFill="1" applyBorder="1" applyAlignment="1" applyProtection="1">
      <alignment horizontal="left" vertical="center"/>
      <protection hidden="1"/>
    </xf>
    <xf numFmtId="0" fontId="9" fillId="0" borderId="8" xfId="1" applyFont="1" applyFill="1" applyBorder="1" applyAlignment="1" applyProtection="1">
      <alignment horizontal="left" vertical="center"/>
      <protection hidden="1"/>
    </xf>
    <xf numFmtId="0" fontId="24" fillId="0" borderId="12" xfId="1" applyFont="1" applyFill="1" applyBorder="1" applyAlignment="1" applyProtection="1">
      <alignment horizontal="left" vertical="center"/>
      <protection hidden="1"/>
    </xf>
    <xf numFmtId="0" fontId="8" fillId="0" borderId="37" xfId="1" applyFont="1" applyBorder="1" applyAlignment="1" applyProtection="1">
      <alignment horizontal="center"/>
    </xf>
    <xf numFmtId="0" fontId="47" fillId="0" borderId="39" xfId="1" applyFont="1" applyFill="1" applyBorder="1" applyAlignment="1" applyProtection="1">
      <alignment horizontal="center" vertical="center"/>
      <protection hidden="1"/>
    </xf>
    <xf numFmtId="0" fontId="47" fillId="0" borderId="8" xfId="1" applyFont="1" applyFill="1" applyBorder="1" applyAlignment="1" applyProtection="1">
      <alignment horizontal="center" vertical="center"/>
      <protection hidden="1"/>
    </xf>
    <xf numFmtId="0" fontId="44" fillId="0" borderId="39" xfId="1" applyFont="1" applyFill="1" applyBorder="1" applyAlignment="1" applyProtection="1">
      <alignment horizontal="center" vertical="center"/>
      <protection hidden="1"/>
    </xf>
    <xf numFmtId="0" fontId="36" fillId="0" borderId="25" xfId="1" applyFont="1" applyBorder="1" applyAlignment="1" applyProtection="1">
      <alignment horizontal="center"/>
      <protection hidden="1"/>
    </xf>
    <xf numFmtId="0" fontId="36" fillId="0" borderId="46" xfId="1" applyFont="1" applyBorder="1" applyAlignment="1" applyProtection="1">
      <alignment horizontal="center"/>
      <protection hidden="1"/>
    </xf>
    <xf numFmtId="0" fontId="24" fillId="0" borderId="22" xfId="1" applyFont="1" applyFill="1" applyBorder="1" applyAlignment="1" applyProtection="1">
      <alignment horizontal="left" vertical="center"/>
      <protection hidden="1"/>
    </xf>
    <xf numFmtId="0" fontId="24" fillId="0" borderId="8" xfId="1" applyFont="1" applyFill="1" applyBorder="1" applyAlignment="1" applyProtection="1">
      <alignment horizontal="left" vertical="center"/>
      <protection hidden="1"/>
    </xf>
    <xf numFmtId="0" fontId="29" fillId="0" borderId="22" xfId="1" applyFont="1" applyFill="1" applyBorder="1" applyAlignment="1" applyProtection="1">
      <alignment horizontal="center" vertical="center"/>
      <protection hidden="1"/>
    </xf>
    <xf numFmtId="0" fontId="29" fillId="0" borderId="8" xfId="1" applyFont="1" applyFill="1" applyBorder="1" applyAlignment="1" applyProtection="1">
      <alignment horizontal="center" vertical="center"/>
      <protection hidden="1"/>
    </xf>
    <xf numFmtId="0" fontId="9" fillId="0" borderId="191" xfId="1" applyFont="1" applyFill="1" applyBorder="1" applyAlignment="1" applyProtection="1">
      <alignment horizontal="center" vertical="center"/>
      <protection hidden="1"/>
    </xf>
    <xf numFmtId="0" fontId="9" fillId="0" borderId="11" xfId="1" applyFont="1" applyFill="1" applyBorder="1" applyAlignment="1" applyProtection="1">
      <alignment horizontal="center" vertical="center"/>
      <protection hidden="1"/>
    </xf>
    <xf numFmtId="0" fontId="9" fillId="0" borderId="190" xfId="1" applyFont="1" applyFill="1" applyBorder="1" applyAlignment="1" applyProtection="1">
      <alignment horizontal="center" vertical="center"/>
      <protection hidden="1"/>
    </xf>
    <xf numFmtId="0" fontId="36" fillId="0" borderId="46" xfId="1" applyFont="1" applyBorder="1" applyAlignment="1" applyProtection="1">
      <alignment horizontal="center" wrapText="1"/>
      <protection hidden="1"/>
    </xf>
    <xf numFmtId="0" fontId="36" fillId="0" borderId="23" xfId="1" applyFont="1" applyBorder="1" applyAlignment="1" applyProtection="1">
      <alignment horizontal="center" wrapText="1"/>
      <protection hidden="1"/>
    </xf>
    <xf numFmtId="0" fontId="75" fillId="0" borderId="39" xfId="1" applyFont="1" applyFill="1" applyBorder="1" applyAlignment="1" applyProtection="1">
      <alignment horizontal="left" vertical="center"/>
      <protection hidden="1"/>
    </xf>
    <xf numFmtId="0" fontId="9" fillId="0" borderId="12" xfId="1" applyFont="1" applyFill="1" applyBorder="1" applyAlignment="1" applyProtection="1">
      <alignment horizontal="left" vertical="center"/>
      <protection hidden="1"/>
    </xf>
    <xf numFmtId="0" fontId="37" fillId="0" borderId="37" xfId="1" applyFont="1" applyFill="1" applyBorder="1" applyAlignment="1" applyProtection="1">
      <alignment horizontal="center"/>
      <protection hidden="1"/>
    </xf>
    <xf numFmtId="0" fontId="47" fillId="0" borderId="37" xfId="1" applyFont="1" applyFill="1" applyBorder="1" applyAlignment="1" applyProtection="1">
      <alignment horizontal="center"/>
      <protection hidden="1"/>
    </xf>
    <xf numFmtId="0" fontId="47" fillId="0" borderId="36" xfId="1" applyFont="1" applyFill="1" applyBorder="1" applyAlignment="1" applyProtection="1">
      <alignment horizontal="center"/>
      <protection hidden="1"/>
    </xf>
    <xf numFmtId="0" fontId="30" fillId="0" borderId="66" xfId="1" applyFont="1" applyFill="1" applyBorder="1" applyAlignment="1" applyProtection="1">
      <alignment horizontal="center"/>
      <protection hidden="1"/>
    </xf>
    <xf numFmtId="0" fontId="30" fillId="0" borderId="18" xfId="1" applyFont="1" applyFill="1" applyBorder="1" applyAlignment="1" applyProtection="1">
      <alignment horizontal="center"/>
      <protection hidden="1"/>
    </xf>
    <xf numFmtId="0" fontId="46" fillId="0" borderId="18" xfId="1" applyFont="1" applyFill="1" applyBorder="1" applyAlignment="1" applyProtection="1">
      <alignment horizontal="center" vertical="center"/>
      <protection hidden="1"/>
    </xf>
    <xf numFmtId="0" fontId="30" fillId="0" borderId="65" xfId="1" applyFont="1" applyFill="1" applyBorder="1" applyAlignment="1" applyProtection="1">
      <alignment horizontal="center"/>
      <protection hidden="1"/>
    </xf>
    <xf numFmtId="0" fontId="15" fillId="2" borderId="4" xfId="1" applyFont="1" applyFill="1" applyBorder="1" applyAlignment="1" applyProtection="1">
      <alignment horizontal="center" vertical="center"/>
      <protection hidden="1"/>
    </xf>
    <xf numFmtId="0" fontId="75" fillId="0" borderId="12" xfId="1" applyFont="1" applyFill="1" applyBorder="1" applyAlignment="1" applyProtection="1">
      <alignment horizontal="left" vertical="center"/>
      <protection hidden="1"/>
    </xf>
    <xf numFmtId="0" fontId="45" fillId="0" borderId="39" xfId="1" applyFont="1" applyFill="1" applyBorder="1" applyAlignment="1" applyProtection="1">
      <alignment horizontal="center" vertical="center"/>
      <protection hidden="1"/>
    </xf>
    <xf numFmtId="0" fontId="29" fillId="2" borderId="22" xfId="1" applyFont="1" applyFill="1" applyBorder="1" applyAlignment="1" applyProtection="1">
      <alignment horizontal="center" vertical="center"/>
      <protection hidden="1"/>
    </xf>
    <xf numFmtId="0" fontId="29" fillId="2" borderId="39" xfId="1" applyFont="1" applyFill="1" applyBorder="1" applyAlignment="1" applyProtection="1">
      <alignment horizontal="center" vertical="center"/>
      <protection hidden="1"/>
    </xf>
    <xf numFmtId="0" fontId="29" fillId="2" borderId="8" xfId="1" applyFont="1" applyFill="1" applyBorder="1" applyAlignment="1" applyProtection="1">
      <alignment horizontal="center" vertical="center"/>
      <protection hidden="1"/>
    </xf>
    <xf numFmtId="0" fontId="15" fillId="0" borderId="22" xfId="1" applyFont="1" applyFill="1" applyBorder="1" applyAlignment="1" applyProtection="1">
      <alignment horizontal="center" vertical="center"/>
      <protection hidden="1"/>
    </xf>
    <xf numFmtId="0" fontId="15" fillId="0" borderId="8" xfId="1" applyFont="1" applyFill="1" applyBorder="1" applyAlignment="1" applyProtection="1">
      <alignment horizontal="center" vertical="center"/>
      <protection hidden="1"/>
    </xf>
    <xf numFmtId="0" fontId="48" fillId="0" borderId="12" xfId="1" applyFont="1" applyFill="1" applyBorder="1" applyAlignment="1" applyProtection="1">
      <alignment horizontal="left" vertical="center"/>
      <protection hidden="1"/>
    </xf>
    <xf numFmtId="0" fontId="49" fillId="0" borderId="39" xfId="1" applyFont="1" applyFill="1" applyBorder="1" applyAlignment="1" applyProtection="1">
      <alignment horizontal="left" vertical="center"/>
      <protection hidden="1"/>
    </xf>
    <xf numFmtId="0" fontId="49" fillId="0" borderId="8" xfId="1" applyFont="1" applyFill="1" applyBorder="1" applyAlignment="1" applyProtection="1">
      <alignment horizontal="left" vertical="center"/>
      <protection hidden="1"/>
    </xf>
    <xf numFmtId="0" fontId="59" fillId="0" borderId="4" xfId="1" applyFont="1" applyBorder="1" applyAlignment="1" applyProtection="1">
      <alignment horizontal="right" vertical="center"/>
      <protection hidden="1"/>
    </xf>
    <xf numFmtId="0" fontId="47" fillId="0" borderId="38" xfId="1" applyFont="1" applyFill="1" applyBorder="1" applyAlignment="1" applyProtection="1">
      <alignment horizontal="center"/>
      <protection hidden="1"/>
    </xf>
    <xf numFmtId="0" fontId="72" fillId="0" borderId="39" xfId="1" applyFont="1" applyFill="1" applyBorder="1" applyAlignment="1" applyProtection="1">
      <alignment horizontal="left" vertical="center"/>
      <protection hidden="1"/>
    </xf>
    <xf numFmtId="0" fontId="72" fillId="0" borderId="8" xfId="1" applyFont="1" applyFill="1" applyBorder="1" applyAlignment="1" applyProtection="1">
      <alignment horizontal="left" vertical="center"/>
      <protection hidden="1"/>
    </xf>
    <xf numFmtId="0" fontId="3" fillId="0" borderId="19" xfId="1" applyFont="1" applyFill="1" applyBorder="1" applyAlignment="1" applyProtection="1">
      <alignment horizontal="left" vertical="center"/>
      <protection hidden="1"/>
    </xf>
    <xf numFmtId="0" fontId="3" fillId="0" borderId="31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3" fillId="0" borderId="47" xfId="1" applyFont="1" applyFill="1" applyBorder="1" applyAlignment="1" applyProtection="1">
      <alignment horizontal="left" vertical="center"/>
      <protection hidden="1"/>
    </xf>
    <xf numFmtId="0" fontId="3" fillId="0" borderId="18" xfId="1" applyFont="1" applyFill="1" applyBorder="1" applyAlignment="1" applyProtection="1">
      <alignment horizontal="left" vertical="center"/>
      <protection hidden="1"/>
    </xf>
    <xf numFmtId="0" fontId="3" fillId="0" borderId="18" xfId="1" applyNumberFormat="1" applyFont="1" applyFill="1" applyBorder="1" applyAlignment="1" applyProtection="1">
      <alignment horizontal="left" vertical="center"/>
      <protection hidden="1"/>
    </xf>
    <xf numFmtId="0" fontId="3" fillId="0" borderId="65" xfId="1" applyFont="1" applyFill="1" applyBorder="1" applyAlignment="1" applyProtection="1">
      <alignment horizontal="left" vertical="center"/>
      <protection hidden="1"/>
    </xf>
    <xf numFmtId="0" fontId="75" fillId="0" borderId="53" xfId="1" applyFont="1" applyFill="1" applyBorder="1" applyAlignment="1" applyProtection="1">
      <alignment horizontal="left" vertical="center"/>
      <protection hidden="1"/>
    </xf>
    <xf numFmtId="0" fontId="75" fillId="0" borderId="104" xfId="1" applyFont="1" applyFill="1" applyBorder="1" applyAlignment="1" applyProtection="1">
      <alignment horizontal="left" vertical="center"/>
      <protection hidden="1"/>
    </xf>
    <xf numFmtId="0" fontId="50" fillId="0" borderId="127" xfId="1" applyFont="1" applyFill="1" applyBorder="1" applyAlignment="1" applyProtection="1">
      <alignment horizontal="left" vertical="center"/>
      <protection hidden="1"/>
    </xf>
    <xf numFmtId="0" fontId="50" fillId="0" borderId="57" xfId="1" applyFont="1" applyFill="1" applyBorder="1" applyAlignment="1" applyProtection="1">
      <alignment horizontal="left" vertical="center"/>
      <protection hidden="1"/>
    </xf>
    <xf numFmtId="0" fontId="51" fillId="0" borderId="51" xfId="1" applyFont="1" applyFill="1" applyBorder="1" applyAlignment="1" applyProtection="1">
      <alignment horizontal="left" vertical="center"/>
      <protection hidden="1"/>
    </xf>
    <xf numFmtId="0" fontId="51" fillId="0" borderId="39" xfId="1" applyFont="1" applyFill="1" applyBorder="1" applyAlignment="1" applyProtection="1">
      <alignment horizontal="left" vertical="center"/>
      <protection hidden="1"/>
    </xf>
    <xf numFmtId="0" fontId="51" fillId="0" borderId="8" xfId="1" applyFont="1" applyFill="1" applyBorder="1" applyAlignment="1" applyProtection="1">
      <alignment horizontal="left" vertical="center"/>
      <protection hidden="1"/>
    </xf>
    <xf numFmtId="0" fontId="75" fillId="0" borderId="51" xfId="1" applyFont="1" applyFill="1" applyBorder="1" applyAlignment="1" applyProtection="1">
      <alignment horizontal="left" vertical="center"/>
      <protection hidden="1"/>
    </xf>
    <xf numFmtId="0" fontId="36" fillId="0" borderId="11" xfId="1" applyFont="1" applyFill="1" applyBorder="1" applyAlignment="1" applyProtection="1">
      <alignment horizontal="center" vertical="center"/>
      <protection hidden="1"/>
    </xf>
    <xf numFmtId="0" fontId="24" fillId="0" borderId="51" xfId="1" applyFont="1" applyFill="1" applyBorder="1" applyAlignment="1" applyProtection="1">
      <alignment horizontal="left" vertical="center"/>
      <protection hidden="1"/>
    </xf>
    <xf numFmtId="0" fontId="99" fillId="0" borderId="118" xfId="1" applyFont="1" applyFill="1" applyBorder="1" applyAlignment="1" applyProtection="1">
      <alignment horizontal="center" vertical="center"/>
      <protection hidden="1"/>
    </xf>
    <xf numFmtId="0" fontId="99" fillId="0" borderId="109" xfId="1" applyFont="1" applyFill="1" applyBorder="1" applyAlignment="1" applyProtection="1">
      <alignment horizontal="center" vertical="center"/>
      <protection hidden="1"/>
    </xf>
    <xf numFmtId="0" fontId="38" fillId="0" borderId="37" xfId="1" applyNumberFormat="1" applyFont="1" applyBorder="1" applyAlignment="1" applyProtection="1">
      <alignment horizontal="center" vertical="top"/>
    </xf>
    <xf numFmtId="0" fontId="26" fillId="0" borderId="0" xfId="1" applyNumberFormat="1" applyFont="1" applyFill="1" applyBorder="1" applyAlignment="1" applyProtection="1">
      <alignment horizontal="left" vertical="center"/>
      <protection hidden="1"/>
    </xf>
    <xf numFmtId="0" fontId="26" fillId="0" borderId="0" xfId="1" applyFont="1" applyFill="1" applyBorder="1" applyAlignment="1" applyProtection="1">
      <alignment horizontal="left" vertical="center"/>
      <protection hidden="1"/>
    </xf>
    <xf numFmtId="3" fontId="26" fillId="0" borderId="0" xfId="1" applyNumberFormat="1" applyFont="1" applyFill="1" applyBorder="1" applyAlignment="1" applyProtection="1">
      <alignment horizontal="left" vertical="center"/>
      <protection hidden="1"/>
    </xf>
    <xf numFmtId="0" fontId="26" fillId="0" borderId="0" xfId="1" applyFont="1" applyFill="1" applyBorder="1" applyAlignment="1" applyProtection="1">
      <alignment horizontal="left" vertical="center" wrapText="1"/>
      <protection hidden="1"/>
    </xf>
    <xf numFmtId="0" fontId="111" fillId="0" borderId="81" xfId="1" applyFont="1" applyBorder="1" applyAlignment="1" applyProtection="1">
      <alignment horizontal="center" vertical="center"/>
      <protection hidden="1"/>
    </xf>
    <xf numFmtId="0" fontId="111" fillId="0" borderId="18" xfId="1" applyFont="1" applyBorder="1" applyAlignment="1" applyProtection="1">
      <alignment horizontal="center" vertical="center"/>
      <protection hidden="1"/>
    </xf>
    <xf numFmtId="0" fontId="113" fillId="0" borderId="83" xfId="1" applyFont="1" applyBorder="1" applyAlignment="1" applyProtection="1">
      <alignment horizontal="right" vertical="center"/>
      <protection hidden="1"/>
    </xf>
    <xf numFmtId="0" fontId="113" fillId="0" borderId="24" xfId="1" applyFont="1" applyBorder="1" applyAlignment="1" applyProtection="1">
      <alignment horizontal="right" vertical="center"/>
      <protection hidden="1"/>
    </xf>
    <xf numFmtId="0" fontId="110" fillId="0" borderId="24" xfId="1" applyFont="1" applyFill="1" applyBorder="1" applyAlignment="1" applyProtection="1">
      <alignment horizontal="center" vertical="center"/>
      <protection hidden="1"/>
    </xf>
    <xf numFmtId="0" fontId="110" fillId="0" borderId="84" xfId="1" applyFont="1" applyFill="1" applyBorder="1" applyAlignment="1" applyProtection="1">
      <alignment horizontal="center" vertical="center"/>
      <protection hidden="1"/>
    </xf>
    <xf numFmtId="0" fontId="109" fillId="0" borderId="0" xfId="1" applyFont="1" applyBorder="1" applyAlignment="1" applyProtection="1">
      <alignment horizontal="left" vertical="center"/>
      <protection hidden="1"/>
    </xf>
    <xf numFmtId="3" fontId="26" fillId="0" borderId="68" xfId="1" applyNumberFormat="1" applyFont="1" applyFill="1" applyBorder="1" applyAlignment="1" applyProtection="1">
      <alignment horizontal="left" vertical="center"/>
      <protection hidden="1"/>
    </xf>
    <xf numFmtId="0" fontId="58" fillId="0" borderId="95" xfId="1" applyFont="1" applyFill="1" applyBorder="1" applyAlignment="1" applyProtection="1">
      <alignment horizontal="center" vertical="center"/>
      <protection hidden="1"/>
    </xf>
    <xf numFmtId="0" fontId="58" fillId="0" borderId="0" xfId="1" applyFont="1" applyFill="1" applyBorder="1" applyAlignment="1" applyProtection="1">
      <alignment horizontal="center" vertical="center"/>
      <protection hidden="1"/>
    </xf>
    <xf numFmtId="0" fontId="18" fillId="0" borderId="0" xfId="1" applyFont="1" applyBorder="1" applyAlignment="1" applyProtection="1">
      <alignment horizontal="left" vertical="center"/>
      <protection hidden="1"/>
    </xf>
    <xf numFmtId="0" fontId="18" fillId="0" borderId="0" xfId="1" applyFont="1" applyBorder="1" applyAlignment="1" applyProtection="1">
      <alignment vertical="center"/>
      <protection hidden="1"/>
    </xf>
    <xf numFmtId="0" fontId="26" fillId="0" borderId="0" xfId="1" applyFont="1" applyBorder="1" applyAlignment="1" applyProtection="1">
      <alignment horizontal="left" vertical="center"/>
      <protection hidden="1"/>
    </xf>
    <xf numFmtId="0" fontId="103" fillId="0" borderId="74" xfId="1" applyFont="1" applyFill="1" applyBorder="1" applyAlignment="1" applyProtection="1">
      <alignment horizontal="center" vertical="center"/>
      <protection hidden="1"/>
    </xf>
    <xf numFmtId="0" fontId="103" fillId="0" borderId="75" xfId="1" applyFont="1" applyFill="1" applyBorder="1" applyAlignment="1" applyProtection="1">
      <alignment horizontal="center" vertical="center"/>
      <protection hidden="1"/>
    </xf>
    <xf numFmtId="0" fontId="103" fillId="0" borderId="76" xfId="1" applyFont="1" applyFill="1" applyBorder="1" applyAlignment="1" applyProtection="1">
      <alignment horizontal="center" vertical="center"/>
      <protection hidden="1"/>
    </xf>
    <xf numFmtId="0" fontId="18" fillId="0" borderId="63" xfId="1" applyFont="1" applyBorder="1" applyAlignment="1" applyProtection="1">
      <alignment horizontal="left" vertical="center"/>
      <protection hidden="1"/>
    </xf>
    <xf numFmtId="0" fontId="26" fillId="0" borderId="0" xfId="1" applyFont="1" applyBorder="1" applyAlignment="1" applyProtection="1">
      <alignment vertical="center"/>
      <protection hidden="1"/>
    </xf>
    <xf numFmtId="0" fontId="18" fillId="0" borderId="0" xfId="1" applyFont="1" applyFill="1" applyBorder="1" applyAlignment="1" applyProtection="1">
      <alignment vertical="center"/>
      <protection hidden="1"/>
    </xf>
    <xf numFmtId="0" fontId="100" fillId="0" borderId="28" xfId="1" applyFont="1" applyBorder="1" applyAlignment="1" applyProtection="1">
      <alignment horizontal="center" vertical="center"/>
      <protection hidden="1"/>
    </xf>
    <xf numFmtId="0" fontId="100" fillId="0" borderId="1" xfId="1" applyFont="1" applyBorder="1" applyAlignment="1" applyProtection="1">
      <alignment horizontal="center" vertical="center"/>
      <protection hidden="1"/>
    </xf>
    <xf numFmtId="1" fontId="101" fillId="0" borderId="27" xfId="1" applyNumberFormat="1" applyFont="1" applyBorder="1" applyAlignment="1" applyProtection="1">
      <alignment horizontal="right" vertical="center"/>
      <protection hidden="1"/>
    </xf>
    <xf numFmtId="1" fontId="101" fillId="0" borderId="29" xfId="1" applyNumberFormat="1" applyFont="1" applyBorder="1" applyAlignment="1" applyProtection="1">
      <alignment horizontal="right" vertical="center"/>
      <protection hidden="1"/>
    </xf>
    <xf numFmtId="17" fontId="102" fillId="0" borderId="2" xfId="1" applyNumberFormat="1" applyFont="1" applyBorder="1" applyAlignment="1" applyProtection="1">
      <alignment horizontal="center" vertical="center"/>
      <protection hidden="1"/>
    </xf>
    <xf numFmtId="0" fontId="102" fillId="0" borderId="68" xfId="1" applyNumberFormat="1" applyFont="1" applyBorder="1" applyAlignment="1" applyProtection="1">
      <alignment horizontal="center" vertical="center"/>
      <protection hidden="1"/>
    </xf>
    <xf numFmtId="0" fontId="102" fillId="0" borderId="31" xfId="1" applyNumberFormat="1" applyFont="1" applyBorder="1" applyAlignment="1" applyProtection="1">
      <alignment horizontal="center" vertical="center"/>
      <protection hidden="1"/>
    </xf>
    <xf numFmtId="0" fontId="102" fillId="0" borderId="47" xfId="1" applyNumberFormat="1" applyFont="1" applyBorder="1" applyAlignment="1" applyProtection="1">
      <alignment horizontal="center" vertical="center"/>
      <protection hidden="1"/>
    </xf>
    <xf numFmtId="0" fontId="100" fillId="0" borderId="69" xfId="1" applyFont="1" applyBorder="1" applyAlignment="1" applyProtection="1">
      <alignment horizontal="center" vertical="center"/>
      <protection hidden="1"/>
    </xf>
    <xf numFmtId="0" fontId="100" fillId="0" borderId="70" xfId="1" applyFont="1" applyBorder="1" applyAlignment="1" applyProtection="1">
      <alignment horizontal="center" vertical="center"/>
      <protection hidden="1"/>
    </xf>
    <xf numFmtId="1" fontId="101" fillId="0" borderId="72" xfId="1" applyNumberFormat="1" applyFont="1" applyBorder="1" applyAlignment="1" applyProtection="1">
      <alignment horizontal="right" vertical="center"/>
      <protection hidden="1"/>
    </xf>
    <xf numFmtId="1" fontId="101" fillId="0" borderId="73" xfId="1" applyNumberFormat="1" applyFont="1" applyBorder="1" applyAlignment="1" applyProtection="1">
      <alignment horizontal="right" vertical="center"/>
      <protection hidden="1"/>
    </xf>
    <xf numFmtId="176" fontId="98" fillId="0" borderId="48" xfId="1" applyNumberFormat="1" applyFont="1" applyBorder="1" applyAlignment="1" applyProtection="1">
      <alignment horizontal="center" vertical="center"/>
      <protection hidden="1"/>
    </xf>
    <xf numFmtId="176" fontId="98" fillId="0" borderId="0" xfId="1" applyNumberFormat="1" applyFont="1" applyBorder="1" applyAlignment="1" applyProtection="1">
      <alignment horizontal="center" vertical="center"/>
      <protection hidden="1"/>
    </xf>
    <xf numFmtId="176" fontId="98" fillId="0" borderId="18" xfId="1" applyNumberFormat="1" applyFont="1" applyBorder="1" applyAlignment="1" applyProtection="1">
      <alignment horizontal="center"/>
      <protection hidden="1"/>
    </xf>
    <xf numFmtId="176" fontId="98" fillId="0" borderId="65" xfId="1" applyNumberFormat="1" applyFont="1" applyBorder="1" applyAlignment="1" applyProtection="1">
      <alignment horizontal="center"/>
      <protection hidden="1"/>
    </xf>
    <xf numFmtId="0" fontId="58" fillId="17" borderId="66" xfId="1" applyFont="1" applyFill="1" applyBorder="1" applyAlignment="1" applyProtection="1">
      <alignment horizontal="center" vertical="center"/>
      <protection hidden="1"/>
    </xf>
    <xf numFmtId="0" fontId="58" fillId="17" borderId="18" xfId="1" applyFont="1" applyFill="1" applyBorder="1" applyAlignment="1" applyProtection="1">
      <alignment horizontal="center" vertical="center"/>
      <protection hidden="1"/>
    </xf>
    <xf numFmtId="0" fontId="58" fillId="17" borderId="65" xfId="1" applyFont="1" applyFill="1" applyBorder="1" applyAlignment="1" applyProtection="1">
      <alignment horizontal="center" vertical="center"/>
      <protection hidden="1"/>
    </xf>
    <xf numFmtId="0" fontId="100" fillId="0" borderId="27" xfId="1" applyFont="1" applyBorder="1" applyAlignment="1" applyProtection="1">
      <alignment horizontal="center" vertical="center" wrapText="1"/>
      <protection hidden="1"/>
    </xf>
    <xf numFmtId="0" fontId="100" fillId="0" borderId="29" xfId="1" applyFont="1" applyBorder="1" applyAlignment="1" applyProtection="1">
      <alignment horizontal="center" vertical="center" wrapText="1"/>
      <protection hidden="1"/>
    </xf>
    <xf numFmtId="0" fontId="100" fillId="0" borderId="67" xfId="1" applyFont="1" applyBorder="1" applyAlignment="1" applyProtection="1">
      <alignment horizontal="center" vertical="center" wrapText="1"/>
      <protection hidden="1"/>
    </xf>
    <xf numFmtId="0" fontId="100" fillId="0" borderId="42" xfId="1" applyFont="1" applyBorder="1" applyAlignment="1" applyProtection="1">
      <alignment horizontal="center" vertical="center"/>
      <protection hidden="1"/>
    </xf>
    <xf numFmtId="0" fontId="100" fillId="0" borderId="40" xfId="1" applyFont="1" applyBorder="1" applyAlignment="1" applyProtection="1">
      <alignment horizontal="center" vertical="center"/>
      <protection hidden="1"/>
    </xf>
    <xf numFmtId="0" fontId="100" fillId="0" borderId="41" xfId="1" applyFont="1" applyBorder="1" applyAlignment="1" applyProtection="1">
      <alignment horizontal="center" vertical="center"/>
      <protection hidden="1"/>
    </xf>
    <xf numFmtId="0" fontId="99" fillId="0" borderId="126" xfId="1" applyFont="1" applyFill="1" applyBorder="1" applyAlignment="1" applyProtection="1">
      <alignment horizontal="center" vertical="center"/>
      <protection hidden="1"/>
    </xf>
    <xf numFmtId="0" fontId="99" fillId="0" borderId="110" xfId="1" applyFont="1" applyFill="1" applyBorder="1" applyAlignment="1" applyProtection="1">
      <alignment horizontal="center" vertical="center"/>
      <protection hidden="1"/>
    </xf>
    <xf numFmtId="0" fontId="99" fillId="0" borderId="124" xfId="1" applyFont="1" applyFill="1" applyBorder="1" applyAlignment="1" applyProtection="1">
      <alignment horizontal="center" vertical="center"/>
      <protection hidden="1"/>
    </xf>
    <xf numFmtId="0" fontId="99" fillId="0" borderId="106" xfId="1" applyFont="1" applyFill="1" applyBorder="1" applyAlignment="1" applyProtection="1">
      <alignment horizontal="center" vertical="center"/>
      <protection hidden="1"/>
    </xf>
    <xf numFmtId="1" fontId="99" fillId="0" borderId="110" xfId="1" applyNumberFormat="1" applyFont="1" applyFill="1" applyBorder="1" applyAlignment="1" applyProtection="1">
      <alignment horizontal="center" vertical="center"/>
      <protection hidden="1"/>
    </xf>
    <xf numFmtId="0" fontId="99" fillId="0" borderId="117" xfId="1" applyFont="1" applyFill="1" applyBorder="1" applyAlignment="1" applyProtection="1">
      <alignment horizontal="center" vertical="center"/>
      <protection hidden="1"/>
    </xf>
    <xf numFmtId="0" fontId="99" fillId="0" borderId="125" xfId="1" applyFont="1" applyFill="1" applyBorder="1" applyAlignment="1" applyProtection="1">
      <alignment horizontal="center" vertical="center"/>
      <protection hidden="1"/>
    </xf>
    <xf numFmtId="0" fontId="99" fillId="0" borderId="56" xfId="1" applyFont="1" applyFill="1" applyBorder="1" applyAlignment="1" applyProtection="1">
      <alignment horizontal="center" vertical="center"/>
      <protection hidden="1"/>
    </xf>
    <xf numFmtId="0" fontId="99" fillId="0" borderId="57" xfId="1" applyFont="1" applyFill="1" applyBorder="1" applyAlignment="1" applyProtection="1">
      <alignment horizontal="center" vertical="center"/>
      <protection hidden="1"/>
    </xf>
    <xf numFmtId="176" fontId="98" fillId="0" borderId="0" xfId="1" applyNumberFormat="1" applyFont="1" applyBorder="1" applyAlignment="1" applyProtection="1">
      <alignment horizontal="center"/>
      <protection hidden="1"/>
    </xf>
    <xf numFmtId="176" fontId="98" fillId="0" borderId="47" xfId="1" applyNumberFormat="1" applyFont="1" applyBorder="1" applyAlignment="1" applyProtection="1">
      <alignment horizontal="center"/>
      <protection hidden="1"/>
    </xf>
    <xf numFmtId="0" fontId="96" fillId="0" borderId="62" xfId="1" applyFont="1" applyBorder="1" applyAlignment="1" applyProtection="1">
      <alignment horizontal="center" vertical="center"/>
      <protection hidden="1"/>
    </xf>
    <xf numFmtId="0" fontId="96" fillId="0" borderId="63" xfId="1" applyFont="1" applyBorder="1" applyAlignment="1" applyProtection="1">
      <alignment horizontal="center" vertical="center"/>
      <protection hidden="1"/>
    </xf>
    <xf numFmtId="0" fontId="91" fillId="0" borderId="60" xfId="1" applyFont="1" applyFill="1" applyBorder="1" applyAlignment="1" applyProtection="1">
      <alignment horizontal="center" vertical="center" wrapText="1"/>
      <protection hidden="1"/>
    </xf>
    <xf numFmtId="0" fontId="92" fillId="0" borderId="60" xfId="1" applyFont="1" applyFill="1" applyBorder="1" applyAlignment="1" applyProtection="1">
      <alignment horizontal="center" vertical="center" wrapText="1"/>
      <protection hidden="1"/>
    </xf>
    <xf numFmtId="0" fontId="92" fillId="0" borderId="61" xfId="1" applyFont="1" applyFill="1" applyBorder="1" applyAlignment="1" applyProtection="1">
      <alignment horizontal="center" vertical="center" wrapText="1"/>
      <protection hidden="1"/>
    </xf>
    <xf numFmtId="0" fontId="81" fillId="0" borderId="48" xfId="1" applyFont="1" applyBorder="1" applyAlignment="1" applyProtection="1">
      <alignment horizontal="left" vertical="center"/>
      <protection hidden="1"/>
    </xf>
    <xf numFmtId="0" fontId="81" fillId="0" borderId="0" xfId="1" applyFont="1" applyBorder="1" applyAlignment="1" applyProtection="1">
      <alignment horizontal="left" vertical="center"/>
      <protection hidden="1"/>
    </xf>
    <xf numFmtId="0" fontId="94" fillId="0" borderId="0" xfId="1" applyFont="1" applyBorder="1" applyAlignment="1" applyProtection="1">
      <alignment horizontal="center" vertical="center" wrapText="1"/>
      <protection hidden="1"/>
    </xf>
    <xf numFmtId="0" fontId="95" fillId="17" borderId="48" xfId="1" applyFont="1" applyFill="1" applyBorder="1" applyAlignment="1" applyProtection="1">
      <alignment horizontal="center"/>
      <protection hidden="1"/>
    </xf>
    <xf numFmtId="0" fontId="95" fillId="17" borderId="0" xfId="1" applyFont="1" applyFill="1" applyBorder="1" applyAlignment="1" applyProtection="1">
      <alignment horizontal="center"/>
      <protection hidden="1"/>
    </xf>
    <xf numFmtId="0" fontId="95" fillId="17" borderId="47" xfId="1" applyFont="1" applyFill="1" applyBorder="1" applyAlignment="1" applyProtection="1">
      <alignment horizontal="center"/>
      <protection hidden="1"/>
    </xf>
    <xf numFmtId="1" fontId="81" fillId="0" borderId="63" xfId="1" applyNumberFormat="1" applyFont="1" applyBorder="1" applyAlignment="1" applyProtection="1">
      <alignment horizontal="center" vertical="center"/>
      <protection hidden="1"/>
    </xf>
    <xf numFmtId="1" fontId="81" fillId="0" borderId="64" xfId="1" applyNumberFormat="1" applyFont="1" applyBorder="1" applyAlignment="1" applyProtection="1">
      <alignment horizontal="center" vertical="center"/>
      <protection hidden="1"/>
    </xf>
    <xf numFmtId="184" fontId="47" fillId="0" borderId="0" xfId="1" applyNumberFormat="1" applyFont="1" applyBorder="1" applyAlignment="1" applyProtection="1">
      <alignment horizontal="left"/>
      <protection hidden="1"/>
    </xf>
    <xf numFmtId="0" fontId="119" fillId="0" borderId="31" xfId="1" applyFont="1" applyBorder="1" applyAlignment="1" applyProtection="1">
      <alignment horizontal="center" vertical="center" wrapText="1"/>
      <protection hidden="1"/>
    </xf>
    <xf numFmtId="0" fontId="119" fillId="0" borderId="47" xfId="1" applyFont="1" applyBorder="1" applyAlignment="1" applyProtection="1">
      <alignment horizontal="center" vertical="center" wrapText="1"/>
      <protection hidden="1"/>
    </xf>
    <xf numFmtId="0" fontId="119" fillId="0" borderId="65" xfId="1" applyFont="1" applyBorder="1" applyAlignment="1" applyProtection="1">
      <alignment horizontal="center" vertical="center" wrapText="1"/>
      <protection hidden="1"/>
    </xf>
    <xf numFmtId="0" fontId="93" fillId="0" borderId="70" xfId="1" applyFont="1" applyBorder="1" applyAlignment="1" applyProtection="1">
      <alignment horizontal="center" vertical="center" wrapText="1"/>
      <protection hidden="1"/>
    </xf>
    <xf numFmtId="0" fontId="93" fillId="0" borderId="71" xfId="1" applyFont="1" applyBorder="1" applyAlignment="1" applyProtection="1">
      <alignment horizontal="center" vertical="center"/>
      <protection hidden="1"/>
    </xf>
    <xf numFmtId="0" fontId="93" fillId="0" borderId="41" xfId="1" applyFont="1" applyBorder="1" applyAlignment="1" applyProtection="1">
      <alignment horizontal="center" vertical="center"/>
      <protection hidden="1"/>
    </xf>
    <xf numFmtId="0" fontId="93" fillId="0" borderId="71" xfId="1" applyFont="1" applyBorder="1" applyAlignment="1" applyProtection="1">
      <alignment horizontal="center" vertical="center" wrapText="1"/>
      <protection hidden="1"/>
    </xf>
    <xf numFmtId="0" fontId="93" fillId="0" borderId="41" xfId="1" applyFont="1" applyBorder="1" applyAlignment="1" applyProtection="1">
      <alignment horizontal="center" vertical="center" wrapText="1"/>
      <protection hidden="1"/>
    </xf>
    <xf numFmtId="0" fontId="18" fillId="0" borderId="91" xfId="1" applyFont="1" applyBorder="1" applyAlignment="1" applyProtection="1">
      <alignment horizontal="left"/>
      <protection hidden="1"/>
    </xf>
    <xf numFmtId="0" fontId="18" fillId="0" borderId="0" xfId="1" applyFont="1" applyBorder="1" applyAlignment="1" applyProtection="1">
      <alignment horizontal="left"/>
      <protection hidden="1"/>
    </xf>
    <xf numFmtId="0" fontId="26" fillId="0" borderId="0" xfId="1" applyFont="1" applyBorder="1" applyAlignment="1" applyProtection="1">
      <alignment horizontal="left"/>
      <protection hidden="1"/>
    </xf>
    <xf numFmtId="0" fontId="38" fillId="0" borderId="37" xfId="1" applyFont="1" applyBorder="1" applyAlignment="1" applyProtection="1">
      <alignment horizontal="center"/>
      <protection hidden="1"/>
    </xf>
    <xf numFmtId="0" fontId="93" fillId="0" borderId="46" xfId="1" applyFont="1" applyBorder="1" applyAlignment="1" applyProtection="1">
      <alignment horizontal="left" vertical="center"/>
      <protection hidden="1"/>
    </xf>
    <xf numFmtId="0" fontId="93" fillId="0" borderId="23" xfId="1" applyFont="1" applyBorder="1" applyAlignment="1" applyProtection="1">
      <alignment horizontal="left" vertical="center"/>
      <protection hidden="1"/>
    </xf>
    <xf numFmtId="0" fontId="93" fillId="0" borderId="63" xfId="1" applyFont="1" applyBorder="1" applyAlignment="1" applyProtection="1">
      <alignment horizontal="left" vertical="center"/>
      <protection hidden="1"/>
    </xf>
    <xf numFmtId="0" fontId="93" fillId="0" borderId="64" xfId="1" applyFont="1" applyBorder="1" applyAlignment="1" applyProtection="1">
      <alignment horizontal="left" vertical="center"/>
      <protection hidden="1"/>
    </xf>
    <xf numFmtId="176" fontId="24" fillId="0" borderId="0" xfId="1" applyNumberFormat="1" applyFont="1" applyBorder="1" applyAlignment="1" applyProtection="1">
      <alignment horizontal="left" vertical="center"/>
      <protection hidden="1"/>
    </xf>
    <xf numFmtId="176" fontId="24" fillId="0" borderId="47" xfId="1" applyNumberFormat="1" applyFont="1" applyBorder="1" applyAlignment="1" applyProtection="1">
      <alignment horizontal="left" vertical="center"/>
      <protection hidden="1"/>
    </xf>
    <xf numFmtId="0" fontId="24" fillId="0" borderId="0" xfId="1" applyFont="1" applyBorder="1" applyAlignment="1" applyProtection="1">
      <alignment horizontal="left" vertical="center"/>
      <protection hidden="1"/>
    </xf>
    <xf numFmtId="0" fontId="24" fillId="0" borderId="47" xfId="1" applyFont="1" applyBorder="1" applyAlignment="1" applyProtection="1">
      <alignment horizontal="left" vertical="center"/>
      <protection hidden="1"/>
    </xf>
    <xf numFmtId="0" fontId="92" fillId="0" borderId="70" xfId="1" applyFont="1" applyBorder="1" applyAlignment="1" applyProtection="1">
      <alignment horizontal="center" vertical="center" wrapText="1"/>
      <protection hidden="1"/>
    </xf>
    <xf numFmtId="0" fontId="92" fillId="0" borderId="71" xfId="1" applyFont="1" applyBorder="1" applyAlignment="1" applyProtection="1">
      <alignment horizontal="center" vertical="center" wrapText="1"/>
      <protection hidden="1"/>
    </xf>
    <xf numFmtId="0" fontId="92" fillId="0" borderId="41" xfId="1" applyFont="1" applyBorder="1" applyAlignment="1" applyProtection="1">
      <alignment horizontal="center" vertical="center" wrapText="1"/>
      <protection hidden="1"/>
    </xf>
    <xf numFmtId="0" fontId="117" fillId="0" borderId="91" xfId="1" applyFont="1" applyBorder="1" applyAlignment="1" applyProtection="1">
      <alignment horizontal="left"/>
      <protection hidden="1"/>
    </xf>
    <xf numFmtId="0" fontId="117" fillId="0" borderId="0" xfId="1" applyFont="1" applyBorder="1" applyAlignment="1" applyProtection="1">
      <alignment horizontal="left"/>
      <protection hidden="1"/>
    </xf>
    <xf numFmtId="0" fontId="118" fillId="0" borderId="66" xfId="1" applyFont="1" applyBorder="1" applyAlignment="1" applyProtection="1">
      <alignment horizontal="center" vertical="center"/>
      <protection hidden="1"/>
    </xf>
    <xf numFmtId="0" fontId="118" fillId="0" borderId="18" xfId="1" applyFont="1" applyBorder="1" applyAlignment="1" applyProtection="1">
      <alignment horizontal="center" vertical="center"/>
      <protection hidden="1"/>
    </xf>
    <xf numFmtId="0" fontId="118" fillId="0" borderId="65" xfId="1" applyFont="1" applyBorder="1" applyAlignment="1" applyProtection="1">
      <alignment horizontal="center" vertical="center"/>
      <protection hidden="1"/>
    </xf>
    <xf numFmtId="0" fontId="24" fillId="0" borderId="0" xfId="1" applyFont="1" applyFill="1" applyBorder="1" applyAlignment="1" applyProtection="1">
      <alignment horizontal="left" vertical="center"/>
      <protection hidden="1"/>
    </xf>
    <xf numFmtId="0" fontId="118" fillId="0" borderId="69" xfId="1" applyFont="1" applyBorder="1" applyAlignment="1" applyProtection="1">
      <alignment horizontal="center" vertical="center" textRotation="90"/>
      <protection hidden="1"/>
    </xf>
    <xf numFmtId="0" fontId="118" fillId="0" borderId="90" xfId="1" applyFont="1" applyBorder="1" applyAlignment="1" applyProtection="1">
      <alignment horizontal="center" vertical="center" textRotation="90"/>
      <protection hidden="1"/>
    </xf>
    <xf numFmtId="0" fontId="118" fillId="0" borderId="40" xfId="1" applyFont="1" applyBorder="1" applyAlignment="1" applyProtection="1">
      <alignment horizontal="center" vertical="center" textRotation="90"/>
      <protection hidden="1"/>
    </xf>
    <xf numFmtId="0" fontId="57" fillId="0" borderId="0" xfId="1" applyFont="1" applyFill="1" applyBorder="1" applyAlignment="1" applyProtection="1">
      <alignment horizontal="left"/>
      <protection hidden="1"/>
    </xf>
    <xf numFmtId="0" fontId="57" fillId="0" borderId="68" xfId="1" applyFont="1" applyFill="1" applyBorder="1" applyAlignment="1" applyProtection="1">
      <alignment horizontal="left"/>
      <protection hidden="1"/>
    </xf>
    <xf numFmtId="0" fontId="18" fillId="0" borderId="21" xfId="1" applyFont="1" applyBorder="1" applyAlignment="1" applyProtection="1">
      <alignment horizontal="left"/>
      <protection hidden="1"/>
    </xf>
    <xf numFmtId="0" fontId="18" fillId="0" borderId="18" xfId="1" applyFont="1" applyBorder="1" applyAlignment="1" applyProtection="1">
      <alignment horizontal="left"/>
      <protection hidden="1"/>
    </xf>
    <xf numFmtId="0" fontId="26" fillId="0" borderId="18" xfId="1" applyFont="1" applyBorder="1" applyAlignment="1" applyProtection="1">
      <alignment horizontal="left"/>
      <protection hidden="1"/>
    </xf>
    <xf numFmtId="0" fontId="26" fillId="0" borderId="3" xfId="1" applyFont="1" applyBorder="1" applyAlignment="1" applyProtection="1">
      <alignment horizontal="left"/>
      <protection hidden="1"/>
    </xf>
    <xf numFmtId="0" fontId="57" fillId="0" borderId="93" xfId="1" applyFont="1" applyBorder="1" applyAlignment="1" applyProtection="1">
      <alignment horizontal="center" vertical="center"/>
      <protection hidden="1"/>
    </xf>
    <xf numFmtId="0" fontId="57" fillId="0" borderId="19" xfId="1" applyFont="1" applyBorder="1" applyAlignment="1" applyProtection="1">
      <alignment horizontal="center" vertical="center"/>
      <protection hidden="1"/>
    </xf>
    <xf numFmtId="0" fontId="57" fillId="0" borderId="31" xfId="1" applyFont="1" applyBorder="1" applyAlignment="1" applyProtection="1">
      <alignment horizontal="center" vertical="center"/>
      <protection hidden="1"/>
    </xf>
    <xf numFmtId="0" fontId="87" fillId="0" borderId="19" xfId="1" applyFont="1" applyFill="1" applyBorder="1" applyAlignment="1" applyProtection="1">
      <alignment horizontal="center" vertical="center"/>
      <protection hidden="1"/>
    </xf>
    <xf numFmtId="0" fontId="163" fillId="0" borderId="0" xfId="1" applyFont="1" applyBorder="1" applyAlignment="1" applyProtection="1">
      <alignment horizontal="left" vertical="center" wrapText="1"/>
      <protection hidden="1"/>
    </xf>
    <xf numFmtId="0" fontId="163" fillId="0" borderId="47" xfId="1" applyFont="1" applyBorder="1" applyAlignment="1" applyProtection="1">
      <alignment horizontal="left" vertical="center" wrapText="1"/>
      <protection hidden="1"/>
    </xf>
    <xf numFmtId="0" fontId="47" fillId="0" borderId="0" xfId="1" applyFont="1" applyBorder="1" applyAlignment="1" applyProtection="1">
      <alignment horizontal="center" vertical="center"/>
      <protection hidden="1"/>
    </xf>
    <xf numFmtId="0" fontId="47" fillId="0" borderId="47" xfId="1" applyFont="1" applyBorder="1" applyAlignment="1" applyProtection="1">
      <alignment horizontal="center" vertical="center"/>
      <protection hidden="1"/>
    </xf>
    <xf numFmtId="171" fontId="26" fillId="0" borderId="1" xfId="0" applyNumberFormat="1" applyFont="1" applyFill="1" applyBorder="1" applyAlignment="1" applyProtection="1">
      <alignment horizontal="right" vertical="center" wrapText="1"/>
      <protection hidden="1"/>
    </xf>
    <xf numFmtId="171" fontId="26" fillId="0" borderId="32" xfId="0" applyNumberFormat="1" applyFont="1" applyFill="1" applyBorder="1" applyAlignment="1" applyProtection="1">
      <alignment horizontal="right" vertical="center" wrapText="1"/>
      <protection hidden="1"/>
    </xf>
    <xf numFmtId="0" fontId="104" fillId="0" borderId="28" xfId="0" applyFont="1" applyFill="1" applyBorder="1" applyAlignment="1" applyProtection="1">
      <alignment horizontal="center" vertical="center" wrapText="1"/>
      <protection hidden="1"/>
    </xf>
    <xf numFmtId="0" fontId="104" fillId="0" borderId="1" xfId="0" applyFont="1" applyFill="1" applyBorder="1" applyAlignment="1" applyProtection="1">
      <alignment horizontal="center" vertical="center" wrapText="1"/>
      <protection hidden="1"/>
    </xf>
    <xf numFmtId="171" fontId="26" fillId="0" borderId="27" xfId="0" applyNumberFormat="1" applyFont="1" applyFill="1" applyBorder="1" applyAlignment="1" applyProtection="1">
      <alignment horizontal="right" vertical="center" wrapText="1"/>
      <protection hidden="1"/>
    </xf>
    <xf numFmtId="171" fontId="26" fillId="0" borderId="55" xfId="0" applyNumberFormat="1" applyFont="1" applyFill="1" applyBorder="1" applyAlignment="1" applyProtection="1">
      <alignment horizontal="right" vertical="center" wrapText="1"/>
      <protection hidden="1"/>
    </xf>
    <xf numFmtId="171" fontId="26" fillId="0" borderId="26" xfId="0" applyNumberFormat="1" applyFont="1" applyFill="1" applyBorder="1" applyAlignment="1" applyProtection="1">
      <alignment horizontal="right" vertical="center" wrapText="1"/>
      <protection hidden="1"/>
    </xf>
    <xf numFmtId="0" fontId="104" fillId="0" borderId="30" xfId="0" applyFont="1" applyFill="1" applyBorder="1" applyAlignment="1" applyProtection="1">
      <alignment horizontal="center" vertical="center" wrapText="1"/>
      <protection hidden="1"/>
    </xf>
    <xf numFmtId="0" fontId="104" fillId="0" borderId="55" xfId="0" applyFont="1" applyFill="1" applyBorder="1" applyAlignment="1" applyProtection="1">
      <alignment horizontal="center" vertical="center" wrapText="1"/>
      <protection hidden="1"/>
    </xf>
    <xf numFmtId="0" fontId="104" fillId="0" borderId="29" xfId="0" applyFont="1" applyFill="1" applyBorder="1" applyAlignment="1" applyProtection="1">
      <alignment horizontal="center" vertical="center" wrapText="1"/>
      <protection hidden="1"/>
    </xf>
    <xf numFmtId="171" fontId="26" fillId="0" borderId="29" xfId="0" applyNumberFormat="1" applyFont="1" applyFill="1" applyBorder="1" applyAlignment="1" applyProtection="1">
      <alignment horizontal="right" vertical="center" wrapText="1"/>
      <protection hidden="1"/>
    </xf>
    <xf numFmtId="0" fontId="144" fillId="0" borderId="28" xfId="0" applyFont="1" applyFill="1" applyBorder="1" applyAlignment="1" applyProtection="1">
      <alignment horizontal="center" vertical="center" wrapText="1"/>
      <protection hidden="1"/>
    </xf>
    <xf numFmtId="0" fontId="144" fillId="0" borderId="1" xfId="0" applyFont="1" applyFill="1" applyBorder="1" applyAlignment="1" applyProtection="1">
      <alignment horizontal="center" vertical="center" wrapText="1"/>
      <protection hidden="1"/>
    </xf>
    <xf numFmtId="0" fontId="144" fillId="0" borderId="32" xfId="0" applyFont="1" applyFill="1" applyBorder="1" applyAlignment="1" applyProtection="1">
      <alignment horizontal="center" vertical="center" wrapText="1"/>
      <protection hidden="1"/>
    </xf>
    <xf numFmtId="0" fontId="58" fillId="0" borderId="28" xfId="0" applyFont="1" applyFill="1" applyBorder="1" applyAlignment="1" applyProtection="1">
      <alignment horizontal="center" vertical="top" wrapText="1"/>
      <protection hidden="1"/>
    </xf>
    <xf numFmtId="0" fontId="58" fillId="0" borderId="1" xfId="0" applyFont="1" applyFill="1" applyBorder="1" applyAlignment="1" applyProtection="1">
      <alignment horizontal="center" vertical="top" wrapText="1"/>
      <protection hidden="1"/>
    </xf>
    <xf numFmtId="0" fontId="58" fillId="0" borderId="27" xfId="0" applyFont="1" applyFill="1" applyBorder="1" applyAlignment="1" applyProtection="1">
      <alignment horizontal="center" vertical="top" wrapText="1"/>
      <protection hidden="1"/>
    </xf>
    <xf numFmtId="0" fontId="58" fillId="0" borderId="29" xfId="0" applyFont="1" applyFill="1" applyBorder="1" applyAlignment="1" applyProtection="1">
      <alignment horizontal="center" vertical="top" wrapText="1"/>
      <protection hidden="1"/>
    </xf>
    <xf numFmtId="0" fontId="143" fillId="0" borderId="93" xfId="0" applyFont="1" applyFill="1" applyBorder="1" applyAlignment="1" applyProtection="1">
      <alignment horizontal="center" vertical="center" wrapText="1"/>
      <protection hidden="1"/>
    </xf>
    <xf numFmtId="0" fontId="143" fillId="0" borderId="19" xfId="0" applyFont="1" applyFill="1" applyBorder="1" applyAlignment="1" applyProtection="1">
      <alignment horizontal="center" vertical="center" wrapText="1"/>
      <protection hidden="1"/>
    </xf>
    <xf numFmtId="0" fontId="143" fillId="0" borderId="31" xfId="0" applyFont="1" applyFill="1" applyBorder="1" applyAlignment="1" applyProtection="1">
      <alignment horizontal="center" vertical="center" wrapText="1"/>
      <protection hidden="1"/>
    </xf>
    <xf numFmtId="0" fontId="95" fillId="0" borderId="48" xfId="0" applyFont="1" applyFill="1" applyBorder="1" applyAlignment="1" applyProtection="1">
      <alignment horizontal="center" vertical="center" wrapText="1"/>
      <protection hidden="1"/>
    </xf>
    <xf numFmtId="0" fontId="95" fillId="0" borderId="0" xfId="0" applyFont="1" applyFill="1" applyBorder="1" applyAlignment="1" applyProtection="1">
      <alignment horizontal="center" vertical="center" wrapText="1"/>
      <protection hidden="1"/>
    </xf>
    <xf numFmtId="0" fontId="95" fillId="0" borderId="47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left" vertical="center" wrapText="1"/>
      <protection hidden="1"/>
    </xf>
    <xf numFmtId="183" fontId="104" fillId="0" borderId="39" xfId="0" applyNumberFormat="1" applyFont="1" applyFill="1" applyBorder="1" applyAlignment="1" applyProtection="1">
      <alignment horizontal="right" wrapText="1"/>
      <protection hidden="1"/>
    </xf>
    <xf numFmtId="3" fontId="104" fillId="0" borderId="39" xfId="0" applyNumberFormat="1" applyFont="1" applyFill="1" applyBorder="1" applyAlignment="1" applyProtection="1">
      <alignment horizontal="right" wrapText="1"/>
      <protection hidden="1"/>
    </xf>
    <xf numFmtId="0" fontId="58" fillId="0" borderId="32" xfId="0" applyFont="1" applyFill="1" applyBorder="1" applyAlignment="1" applyProtection="1">
      <alignment horizontal="center" vertical="top" wrapText="1"/>
      <protection hidden="1"/>
    </xf>
    <xf numFmtId="0" fontId="18" fillId="0" borderId="0" xfId="0" applyFont="1" applyFill="1" applyBorder="1" applyAlignment="1" applyProtection="1">
      <alignment horizontal="right" vertical="top" wrapText="1"/>
      <protection hidden="1"/>
    </xf>
    <xf numFmtId="3" fontId="104" fillId="0" borderId="19" xfId="0" applyNumberFormat="1" applyFont="1" applyFill="1" applyBorder="1" applyAlignment="1" applyProtection="1">
      <alignment horizontal="right" wrapText="1"/>
      <protection hidden="1"/>
    </xf>
    <xf numFmtId="0" fontId="3" fillId="0" borderId="19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104" fillId="0" borderId="0" xfId="0" applyFont="1" applyFill="1" applyBorder="1" applyAlignment="1" applyProtection="1">
      <alignment horizontal="right" vertical="top" wrapText="1"/>
      <protection hidden="1"/>
    </xf>
    <xf numFmtId="0" fontId="95" fillId="0" borderId="0" xfId="0" applyFont="1" applyFill="1" applyBorder="1" applyAlignment="1" applyProtection="1">
      <alignment horizontal="right" vertical="top" wrapText="1"/>
      <protection hidden="1"/>
    </xf>
    <xf numFmtId="0" fontId="148" fillId="0" borderId="0" xfId="0" applyFont="1" applyFill="1" applyBorder="1" applyAlignment="1" applyProtection="1">
      <alignment horizontal="right" vertical="top" wrapText="1"/>
      <protection hidden="1"/>
    </xf>
    <xf numFmtId="0" fontId="95" fillId="0" borderId="0" xfId="0" applyFont="1" applyFill="1" applyBorder="1" applyAlignment="1" applyProtection="1">
      <alignment vertical="top" wrapText="1"/>
      <protection hidden="1"/>
    </xf>
    <xf numFmtId="0" fontId="0" fillId="0" borderId="48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47" xfId="0" applyFont="1" applyFill="1" applyBorder="1" applyAlignment="1" applyProtection="1">
      <alignment horizontal="center" vertical="center" wrapText="1"/>
      <protection hidden="1"/>
    </xf>
    <xf numFmtId="0" fontId="95" fillId="0" borderId="66" xfId="0" applyFont="1" applyFill="1" applyBorder="1" applyAlignment="1" applyProtection="1">
      <alignment horizontal="center" vertical="center" wrapText="1"/>
      <protection hidden="1"/>
    </xf>
    <xf numFmtId="0" fontId="95" fillId="0" borderId="18" xfId="0" applyFont="1" applyFill="1" applyBorder="1" applyAlignment="1" applyProtection="1">
      <alignment horizontal="center" vertical="center" wrapText="1"/>
      <protection hidden="1"/>
    </xf>
    <xf numFmtId="0" fontId="95" fillId="0" borderId="65" xfId="0" applyFont="1" applyFill="1" applyBorder="1" applyAlignment="1" applyProtection="1">
      <alignment horizontal="center" vertical="center" wrapText="1"/>
      <protection hidden="1"/>
    </xf>
    <xf numFmtId="3" fontId="104" fillId="0" borderId="0" xfId="0" applyNumberFormat="1" applyFont="1" applyFill="1" applyBorder="1" applyAlignment="1" applyProtection="1">
      <alignment vertical="top" wrapText="1"/>
      <protection hidden="1"/>
    </xf>
    <xf numFmtId="0" fontId="104" fillId="0" borderId="0" xfId="0" applyFont="1" applyFill="1" applyBorder="1" applyAlignment="1" applyProtection="1">
      <alignment vertical="top" wrapText="1"/>
      <protection hidden="1"/>
    </xf>
    <xf numFmtId="0" fontId="0" fillId="0" borderId="48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center" vertical="top"/>
      <protection hidden="1"/>
    </xf>
    <xf numFmtId="0" fontId="0" fillId="0" borderId="47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03" fillId="0" borderId="0" xfId="0" applyFont="1" applyFill="1" applyBorder="1" applyAlignment="1" applyProtection="1">
      <alignment horizontal="center" vertical="center" wrapText="1"/>
      <protection hidden="1"/>
    </xf>
    <xf numFmtId="0" fontId="145" fillId="0" borderId="38" xfId="0" applyFont="1" applyFill="1" applyBorder="1" applyAlignment="1" applyProtection="1">
      <alignment horizontal="center" vertical="center"/>
      <protection hidden="1"/>
    </xf>
    <xf numFmtId="0" fontId="145" fillId="0" borderId="37" xfId="0" applyFont="1" applyFill="1" applyBorder="1" applyAlignment="1" applyProtection="1">
      <alignment horizontal="center" vertical="center"/>
      <protection hidden="1"/>
    </xf>
    <xf numFmtId="0" fontId="145" fillId="0" borderId="36" xfId="0" applyFont="1" applyFill="1" applyBorder="1" applyAlignment="1" applyProtection="1">
      <alignment horizontal="center" vertical="center"/>
      <protection hidden="1"/>
    </xf>
    <xf numFmtId="0" fontId="145" fillId="0" borderId="48" xfId="0" applyFont="1" applyFill="1" applyBorder="1" applyAlignment="1" applyProtection="1">
      <alignment horizontal="center" vertical="center"/>
      <protection hidden="1"/>
    </xf>
    <xf numFmtId="0" fontId="145" fillId="0" borderId="0" xfId="0" applyFont="1" applyFill="1" applyBorder="1" applyAlignment="1" applyProtection="1">
      <alignment horizontal="center" vertical="center"/>
      <protection hidden="1"/>
    </xf>
    <xf numFmtId="0" fontId="145" fillId="0" borderId="47" xfId="0" applyFont="1" applyFill="1" applyBorder="1" applyAlignment="1" applyProtection="1">
      <alignment horizontal="center" vertical="center"/>
      <protection hidden="1"/>
    </xf>
    <xf numFmtId="0" fontId="146" fillId="0" borderId="37" xfId="0" applyFont="1" applyBorder="1" applyAlignment="1" applyProtection="1">
      <alignment horizontal="center"/>
    </xf>
    <xf numFmtId="0" fontId="0" fillId="0" borderId="12" xfId="0" applyFont="1" applyFill="1" applyBorder="1" applyAlignment="1" applyProtection="1">
      <alignment horizontal="center" vertical="top" wrapText="1"/>
      <protection hidden="1"/>
    </xf>
    <xf numFmtId="0" fontId="0" fillId="0" borderId="12" xfId="0" applyFont="1" applyFill="1" applyBorder="1" applyAlignment="1" applyProtection="1">
      <alignment horizontal="center" vertical="top"/>
      <protection hidden="1"/>
    </xf>
    <xf numFmtId="0" fontId="3" fillId="0" borderId="48" xfId="0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0" fillId="0" borderId="48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Border="1" applyAlignment="1" applyProtection="1">
      <alignment horizontal="right" vertical="top" wrapText="1"/>
      <protection hidden="1"/>
    </xf>
    <xf numFmtId="0" fontId="3" fillId="0" borderId="48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142" fillId="0" borderId="38" xfId="0" applyFont="1" applyFill="1" applyBorder="1" applyAlignment="1" applyProtection="1">
      <alignment horizontal="center" vertical="center" wrapText="1"/>
      <protection hidden="1"/>
    </xf>
    <xf numFmtId="0" fontId="142" fillId="0" borderId="37" xfId="0" applyFont="1" applyFill="1" applyBorder="1" applyAlignment="1" applyProtection="1">
      <alignment horizontal="center" vertical="center" wrapText="1"/>
      <protection hidden="1"/>
    </xf>
    <xf numFmtId="0" fontId="142" fillId="0" borderId="36" xfId="0" applyFont="1" applyFill="1" applyBorder="1" applyAlignment="1" applyProtection="1">
      <alignment horizontal="center" vertical="center" wrapText="1"/>
      <protection hidden="1"/>
    </xf>
    <xf numFmtId="0" fontId="141" fillId="0" borderId="48" xfId="0" applyFont="1" applyFill="1" applyBorder="1" applyAlignment="1" applyProtection="1">
      <alignment horizontal="center" vertical="top" wrapText="1"/>
      <protection hidden="1"/>
    </xf>
    <xf numFmtId="0" fontId="141" fillId="0" borderId="0" xfId="0" applyFont="1" applyFill="1" applyBorder="1" applyAlignment="1" applyProtection="1">
      <alignment horizontal="center" vertical="top" wrapText="1"/>
      <protection hidden="1"/>
    </xf>
    <xf numFmtId="0" fontId="141" fillId="0" borderId="47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177" fontId="0" fillId="0" borderId="0" xfId="0" applyNumberFormat="1" applyFont="1" applyFill="1" applyBorder="1" applyAlignment="1" applyProtection="1">
      <alignment horizontal="left" vertical="top" wrapText="1"/>
      <protection hidden="1"/>
    </xf>
    <xf numFmtId="0" fontId="36" fillId="19" borderId="25" xfId="0" applyFont="1" applyFill="1" applyBorder="1" applyAlignment="1" applyProtection="1">
      <alignment horizontal="right" vertical="center"/>
    </xf>
    <xf numFmtId="0" fontId="36" fillId="19" borderId="46" xfId="0" applyFont="1" applyFill="1" applyBorder="1" applyAlignment="1" applyProtection="1">
      <alignment horizontal="right" vertical="center"/>
    </xf>
    <xf numFmtId="0" fontId="47" fillId="19" borderId="46" xfId="0" applyFont="1" applyFill="1" applyBorder="1" applyAlignment="1" applyProtection="1">
      <alignment horizontal="left" vertical="center"/>
    </xf>
    <xf numFmtId="0" fontId="8" fillId="19" borderId="120" xfId="0" applyFont="1" applyFill="1" applyBorder="1" applyAlignment="1" applyProtection="1">
      <alignment horizontal="center" vertical="center"/>
    </xf>
    <xf numFmtId="0" fontId="8" fillId="19" borderId="121" xfId="0" applyFont="1" applyFill="1" applyBorder="1" applyAlignment="1" applyProtection="1">
      <alignment horizontal="center" vertical="center"/>
    </xf>
    <xf numFmtId="0" fontId="8" fillId="0" borderId="37" xfId="0" applyFont="1" applyBorder="1" applyAlignment="1">
      <alignment horizontal="center"/>
    </xf>
    <xf numFmtId="180" fontId="36" fillId="19" borderId="51" xfId="0" applyNumberFormat="1" applyFont="1" applyFill="1" applyBorder="1" applyAlignment="1" applyProtection="1">
      <alignment horizontal="right" vertical="top"/>
    </xf>
    <xf numFmtId="180" fontId="36" fillId="19" borderId="39" xfId="0" applyNumberFormat="1" applyFont="1" applyFill="1" applyBorder="1" applyAlignment="1" applyProtection="1">
      <alignment horizontal="right" vertical="top"/>
    </xf>
    <xf numFmtId="180" fontId="36" fillId="19" borderId="8" xfId="0" applyNumberFormat="1" applyFont="1" applyFill="1" applyBorder="1" applyAlignment="1" applyProtection="1">
      <alignment horizontal="right" vertical="top"/>
    </xf>
    <xf numFmtId="180" fontId="36" fillId="0" borderId="22" xfId="0" applyNumberFormat="1" applyFont="1" applyFill="1" applyBorder="1" applyAlignment="1" applyProtection="1">
      <alignment horizontal="left" vertical="top"/>
      <protection hidden="1"/>
    </xf>
    <xf numFmtId="180" fontId="36" fillId="0" borderId="122" xfId="0" applyNumberFormat="1" applyFont="1" applyFill="1" applyBorder="1" applyAlignment="1" applyProtection="1">
      <alignment horizontal="left" vertical="top"/>
      <protection hidden="1"/>
    </xf>
    <xf numFmtId="0" fontId="36" fillId="0" borderId="118" xfId="0" applyFont="1" applyFill="1" applyBorder="1" applyAlignment="1" applyProtection="1">
      <alignment horizontal="left" vertical="top"/>
      <protection hidden="1"/>
    </xf>
    <xf numFmtId="0" fontId="36" fillId="0" borderId="123" xfId="0" applyFont="1" applyFill="1" applyBorder="1" applyAlignment="1" applyProtection="1">
      <alignment horizontal="left" vertical="top"/>
      <protection hidden="1"/>
    </xf>
    <xf numFmtId="0" fontId="36" fillId="19" borderId="93" xfId="0" applyFont="1" applyFill="1" applyBorder="1" applyAlignment="1" applyProtection="1">
      <alignment horizontal="right" vertical="center"/>
    </xf>
    <xf numFmtId="0" fontId="36" fillId="19" borderId="19" xfId="0" applyFont="1" applyFill="1" applyBorder="1" applyAlignment="1" applyProtection="1">
      <alignment horizontal="right" vertical="center"/>
    </xf>
    <xf numFmtId="0" fontId="47" fillId="19" borderId="19" xfId="0" applyFont="1" applyFill="1" applyBorder="1" applyAlignment="1" applyProtection="1">
      <alignment horizontal="left" vertical="center" wrapText="1"/>
    </xf>
    <xf numFmtId="0" fontId="36" fillId="19" borderId="68" xfId="0" applyFont="1" applyFill="1" applyBorder="1" applyAlignment="1" applyProtection="1">
      <alignment horizontal="justify" vertical="top" wrapText="1"/>
    </xf>
    <xf numFmtId="0" fontId="36" fillId="19" borderId="119" xfId="0" applyFont="1" applyFill="1" applyBorder="1" applyAlignment="1" applyProtection="1">
      <alignment horizontal="justify" vertical="top" wrapText="1"/>
    </xf>
    <xf numFmtId="0" fontId="36" fillId="19" borderId="48" xfId="0" applyFont="1" applyFill="1" applyBorder="1" applyAlignment="1" applyProtection="1">
      <alignment horizontal="right" vertical="center"/>
    </xf>
    <xf numFmtId="0" fontId="36" fillId="19" borderId="0" xfId="0" applyFont="1" applyFill="1" applyBorder="1" applyAlignment="1" applyProtection="1">
      <alignment horizontal="right" vertical="center"/>
    </xf>
    <xf numFmtId="182" fontId="47" fillId="19" borderId="0" xfId="0" applyNumberFormat="1" applyFont="1" applyFill="1" applyBorder="1" applyAlignment="1" applyProtection="1">
      <alignment horizontal="left" vertical="center"/>
    </xf>
    <xf numFmtId="0" fontId="128" fillId="19" borderId="68" xfId="0" applyFont="1" applyFill="1" applyBorder="1" applyAlignment="1" applyProtection="1">
      <alignment horizontal="center" wrapText="1"/>
    </xf>
    <xf numFmtId="0" fontId="128" fillId="19" borderId="119" xfId="0" applyFont="1" applyFill="1" applyBorder="1" applyAlignment="1" applyProtection="1">
      <alignment horizontal="center" wrapText="1"/>
    </xf>
    <xf numFmtId="0" fontId="36" fillId="19" borderId="115" xfId="0" applyFont="1" applyFill="1" applyBorder="1" applyAlignment="1" applyProtection="1">
      <alignment horizontal="left" vertical="top" wrapText="1"/>
    </xf>
    <xf numFmtId="0" fontId="36" fillId="19" borderId="116" xfId="0" applyFont="1" applyFill="1" applyBorder="1" applyAlignment="1" applyProtection="1">
      <alignment horizontal="left" vertical="top" wrapText="1"/>
    </xf>
    <xf numFmtId="0" fontId="36" fillId="19" borderId="6" xfId="0" applyFont="1" applyFill="1" applyBorder="1" applyAlignment="1" applyProtection="1">
      <alignment horizontal="left" vertical="top" wrapText="1"/>
    </xf>
    <xf numFmtId="180" fontId="36" fillId="19" borderId="107" xfId="0" applyNumberFormat="1" applyFont="1" applyFill="1" applyBorder="1" applyAlignment="1" applyProtection="1">
      <alignment horizontal="left" vertical="top" wrapText="1"/>
    </xf>
    <xf numFmtId="180" fontId="36" fillId="19" borderId="8" xfId="0" applyNumberFormat="1" applyFont="1" applyFill="1" applyBorder="1" applyAlignment="1" applyProtection="1">
      <alignment horizontal="left" vertical="top" wrapText="1"/>
    </xf>
    <xf numFmtId="180" fontId="36" fillId="19" borderId="4" xfId="0" applyNumberFormat="1" applyFont="1" applyFill="1" applyBorder="1" applyAlignment="1" applyProtection="1">
      <alignment horizontal="left" vertical="top" wrapText="1"/>
    </xf>
    <xf numFmtId="180" fontId="37" fillId="19" borderId="107" xfId="0" applyNumberFormat="1" applyFont="1" applyFill="1" applyBorder="1" applyAlignment="1" applyProtection="1">
      <alignment horizontal="left" vertical="top" wrapText="1"/>
    </xf>
    <xf numFmtId="180" fontId="37" fillId="19" borderId="8" xfId="0" applyNumberFormat="1" applyFont="1" applyFill="1" applyBorder="1" applyAlignment="1" applyProtection="1">
      <alignment horizontal="left" vertical="top" wrapText="1"/>
    </xf>
    <xf numFmtId="180" fontId="37" fillId="19" borderId="4" xfId="0" applyNumberFormat="1" applyFont="1" applyFill="1" applyBorder="1" applyAlignment="1" applyProtection="1">
      <alignment horizontal="left" vertical="top"/>
    </xf>
    <xf numFmtId="0" fontId="127" fillId="19" borderId="90" xfId="0" applyFont="1" applyFill="1" applyBorder="1" applyAlignment="1" applyProtection="1">
      <alignment horizontal="center" vertical="center" wrapText="1"/>
    </xf>
    <xf numFmtId="0" fontId="127" fillId="19" borderId="71" xfId="0" applyFont="1" applyFill="1" applyBorder="1" applyAlignment="1" applyProtection="1">
      <alignment horizontal="center" vertical="center" wrapText="1"/>
    </xf>
    <xf numFmtId="0" fontId="127" fillId="19" borderId="119" xfId="0" applyFont="1" applyFill="1" applyBorder="1" applyAlignment="1" applyProtection="1">
      <alignment horizontal="center" vertical="center" wrapText="1"/>
    </xf>
    <xf numFmtId="0" fontId="47" fillId="19" borderId="30" xfId="0" applyFont="1" applyFill="1" applyBorder="1" applyAlignment="1" applyProtection="1">
      <alignment horizontal="left" vertical="center" wrapText="1"/>
    </xf>
    <xf numFmtId="0" fontId="47" fillId="19" borderId="55" xfId="0" applyFont="1" applyFill="1" applyBorder="1" applyAlignment="1" applyProtection="1">
      <alignment horizontal="left" vertical="center" wrapText="1"/>
    </xf>
    <xf numFmtId="0" fontId="47" fillId="19" borderId="26" xfId="0" applyFont="1" applyFill="1" applyBorder="1" applyAlignment="1" applyProtection="1">
      <alignment horizontal="left" vertical="center" wrapText="1"/>
    </xf>
    <xf numFmtId="180" fontId="36" fillId="19" borderId="108" xfId="0" applyNumberFormat="1" applyFont="1" applyFill="1" applyBorder="1" applyAlignment="1" applyProtection="1">
      <alignment horizontal="left" vertical="top" wrapText="1"/>
    </xf>
    <xf numFmtId="180" fontId="36" fillId="19" borderId="109" xfId="0" applyNumberFormat="1" applyFont="1" applyFill="1" applyBorder="1" applyAlignment="1" applyProtection="1">
      <alignment horizontal="left" vertical="top" wrapText="1"/>
    </xf>
    <xf numFmtId="180" fontId="36" fillId="19" borderId="110" xfId="0" applyNumberFormat="1" applyFont="1" applyFill="1" applyBorder="1" applyAlignment="1" applyProtection="1">
      <alignment horizontal="left" vertical="top" wrapText="1"/>
    </xf>
    <xf numFmtId="0" fontId="36" fillId="19" borderId="111" xfId="0" applyNumberFormat="1" applyFont="1" applyFill="1" applyBorder="1" applyAlignment="1" applyProtection="1">
      <alignment horizontal="left" vertical="top" wrapText="1"/>
    </xf>
    <xf numFmtId="0" fontId="36" fillId="19" borderId="112" xfId="0" applyNumberFormat="1" applyFont="1" applyFill="1" applyBorder="1" applyAlignment="1" applyProtection="1">
      <alignment horizontal="left" vertical="top" wrapText="1"/>
    </xf>
    <xf numFmtId="0" fontId="36" fillId="19" borderId="113" xfId="0" applyNumberFormat="1" applyFont="1" applyFill="1" applyBorder="1" applyAlignment="1" applyProtection="1">
      <alignment horizontal="left" vertical="top" wrapText="1"/>
    </xf>
    <xf numFmtId="0" fontId="36" fillId="19" borderId="115" xfId="0" applyNumberFormat="1" applyFont="1" applyFill="1" applyBorder="1" applyAlignment="1" applyProtection="1">
      <alignment horizontal="left" vertical="top" wrapText="1"/>
    </xf>
    <xf numFmtId="0" fontId="36" fillId="19" borderId="116" xfId="0" applyNumberFormat="1" applyFont="1" applyFill="1" applyBorder="1" applyAlignment="1" applyProtection="1">
      <alignment horizontal="left" vertical="top" wrapText="1"/>
    </xf>
    <xf numFmtId="0" fontId="36" fillId="19" borderId="6" xfId="0" applyNumberFormat="1" applyFont="1" applyFill="1" applyBorder="1" applyAlignment="1" applyProtection="1">
      <alignment horizontal="left" vertical="top" wrapText="1"/>
    </xf>
    <xf numFmtId="0" fontId="37" fillId="19" borderId="107" xfId="0" applyFont="1" applyFill="1" applyBorder="1" applyAlignment="1" applyProtection="1">
      <alignment horizontal="left" vertical="top" wrapText="1"/>
    </xf>
    <xf numFmtId="0" fontId="37" fillId="19" borderId="8" xfId="0" applyFont="1" applyFill="1" applyBorder="1" applyAlignment="1" applyProtection="1">
      <alignment horizontal="left" vertical="top" wrapText="1"/>
    </xf>
    <xf numFmtId="0" fontId="37" fillId="19" borderId="4" xfId="0" applyFont="1" applyFill="1" applyBorder="1" applyAlignment="1" applyProtection="1">
      <alignment horizontal="left" vertical="top" wrapText="1"/>
    </xf>
    <xf numFmtId="0" fontId="36" fillId="19" borderId="107" xfId="0" applyNumberFormat="1" applyFont="1" applyFill="1" applyBorder="1" applyAlignment="1" applyProtection="1">
      <alignment horizontal="left" vertical="top"/>
    </xf>
    <xf numFmtId="0" fontId="36" fillId="19" borderId="8" xfId="0" applyNumberFormat="1" applyFont="1" applyFill="1" applyBorder="1" applyAlignment="1" applyProtection="1">
      <alignment horizontal="left" vertical="top"/>
    </xf>
    <xf numFmtId="0" fontId="36" fillId="19" borderId="4" xfId="0" applyNumberFormat="1" applyFont="1" applyFill="1" applyBorder="1" applyAlignment="1" applyProtection="1">
      <alignment horizontal="left" vertical="top"/>
    </xf>
    <xf numFmtId="0" fontId="30" fillId="0" borderId="38" xfId="0" applyFont="1" applyBorder="1" applyAlignment="1" applyProtection="1">
      <alignment horizontal="center" vertical="center" wrapText="1"/>
    </xf>
    <xf numFmtId="0" fontId="30" fillId="0" borderId="37" xfId="0" applyFont="1" applyBorder="1" applyAlignment="1" applyProtection="1">
      <alignment horizontal="center" vertical="center" wrapText="1"/>
    </xf>
    <xf numFmtId="0" fontId="30" fillId="0" borderId="36" xfId="0" applyFont="1" applyBorder="1" applyAlignment="1" applyProtection="1">
      <alignment horizontal="center" vertical="center" wrapText="1"/>
    </xf>
    <xf numFmtId="0" fontId="126" fillId="0" borderId="48" xfId="0" applyFont="1" applyBorder="1" applyAlignment="1" applyProtection="1">
      <alignment horizontal="center" vertical="center"/>
    </xf>
    <xf numFmtId="0" fontId="126" fillId="0" borderId="0" xfId="0" applyFont="1" applyBorder="1" applyAlignment="1" applyProtection="1">
      <alignment horizontal="center" vertical="center"/>
    </xf>
    <xf numFmtId="0" fontId="126" fillId="0" borderId="47" xfId="0" applyFont="1" applyBorder="1" applyAlignment="1" applyProtection="1">
      <alignment horizontal="center" vertical="center"/>
    </xf>
    <xf numFmtId="0" fontId="36" fillId="19" borderId="48" xfId="0" applyFont="1" applyFill="1" applyBorder="1" applyAlignment="1" applyProtection="1">
      <alignment horizontal="left" vertical="center"/>
    </xf>
    <xf numFmtId="0" fontId="36" fillId="19" borderId="0" xfId="0" applyFont="1" applyFill="1" applyBorder="1" applyAlignment="1" applyProtection="1">
      <alignment horizontal="left" vertical="center"/>
    </xf>
    <xf numFmtId="0" fontId="36" fillId="19" borderId="47" xfId="0" applyFont="1" applyFill="1" applyBorder="1" applyAlignment="1" applyProtection="1">
      <alignment horizontal="left" vertical="center"/>
    </xf>
    <xf numFmtId="0" fontId="37" fillId="19" borderId="40" xfId="0" applyFont="1" applyFill="1" applyBorder="1" applyAlignment="1" applyProtection="1">
      <alignment horizontal="left" vertical="center" wrapText="1"/>
    </xf>
    <xf numFmtId="0" fontId="37" fillId="19" borderId="41" xfId="0" applyFont="1" applyFill="1" applyBorder="1" applyAlignment="1" applyProtection="1">
      <alignment horizontal="left" vertical="center" wrapText="1"/>
    </xf>
    <xf numFmtId="0" fontId="37" fillId="19" borderId="42" xfId="0" applyFont="1" applyFill="1" applyBorder="1" applyAlignment="1" applyProtection="1">
      <alignment horizontal="left" vertical="center" wrapText="1"/>
    </xf>
    <xf numFmtId="0" fontId="36" fillId="19" borderId="27" xfId="0" applyFont="1" applyFill="1" applyBorder="1" applyAlignment="1" applyProtection="1">
      <alignment horizontal="center" vertical="center" wrapText="1"/>
    </xf>
    <xf numFmtId="0" fontId="36" fillId="19" borderId="55" xfId="0" applyFont="1" applyFill="1" applyBorder="1" applyAlignment="1" applyProtection="1">
      <alignment horizontal="center" vertical="center" wrapText="1"/>
    </xf>
    <xf numFmtId="0" fontId="36" fillId="19" borderId="29" xfId="0" applyFont="1" applyFill="1" applyBorder="1" applyAlignment="1" applyProtection="1">
      <alignment horizontal="center" vertical="center" wrapText="1"/>
    </xf>
    <xf numFmtId="0" fontId="37" fillId="19" borderId="27" xfId="0" quotePrefix="1" applyFont="1" applyFill="1" applyBorder="1" applyAlignment="1" applyProtection="1">
      <alignment horizontal="center" vertical="center" wrapText="1"/>
    </xf>
    <xf numFmtId="0" fontId="37" fillId="19" borderId="55" xfId="0" quotePrefix="1" applyFont="1" applyFill="1" applyBorder="1" applyAlignment="1" applyProtection="1">
      <alignment horizontal="center" vertical="center" wrapText="1"/>
    </xf>
    <xf numFmtId="0" fontId="37" fillId="19" borderId="29" xfId="0" quotePrefix="1" applyFont="1" applyFill="1" applyBorder="1" applyAlignment="1" applyProtection="1">
      <alignment horizontal="center" vertical="center" wrapText="1"/>
    </xf>
    <xf numFmtId="0" fontId="36" fillId="19" borderId="105" xfId="0" applyFont="1" applyFill="1" applyBorder="1" applyAlignment="1" applyProtection="1">
      <alignment horizontal="left" vertical="top" wrapText="1"/>
    </xf>
    <xf numFmtId="0" fontId="36" fillId="19" borderId="57" xfId="0" applyFont="1" applyFill="1" applyBorder="1" applyAlignment="1" applyProtection="1">
      <alignment horizontal="left" vertical="top" wrapText="1"/>
    </xf>
    <xf numFmtId="0" fontId="36" fillId="19" borderId="106" xfId="0" applyFont="1" applyFill="1" applyBorder="1" applyAlignment="1" applyProtection="1">
      <alignment horizontal="left" vertical="top" wrapText="1"/>
    </xf>
    <xf numFmtId="0" fontId="37" fillId="0" borderId="0" xfId="1" applyFont="1" applyBorder="1" applyAlignment="1" applyProtection="1">
      <alignment horizontal="left" vertical="center"/>
      <protection hidden="1"/>
    </xf>
    <xf numFmtId="0" fontId="149" fillId="0" borderId="48" xfId="1" applyFont="1" applyBorder="1" applyAlignment="1" applyProtection="1">
      <alignment horizontal="center" vertical="center"/>
      <protection hidden="1"/>
    </xf>
    <xf numFmtId="0" fontId="149" fillId="0" borderId="0" xfId="1" applyFont="1" applyBorder="1" applyAlignment="1" applyProtection="1">
      <alignment horizontal="center" vertical="center"/>
      <protection hidden="1"/>
    </xf>
    <xf numFmtId="0" fontId="149" fillId="0" borderId="47" xfId="1" applyFont="1" applyBorder="1" applyAlignment="1" applyProtection="1">
      <alignment horizontal="center" vertical="center"/>
      <protection hidden="1"/>
    </xf>
    <xf numFmtId="0" fontId="150" fillId="0" borderId="48" xfId="1" applyFont="1" applyBorder="1" applyAlignment="1" applyProtection="1">
      <alignment horizontal="center" vertical="center"/>
      <protection hidden="1"/>
    </xf>
    <xf numFmtId="0" fontId="150" fillId="0" borderId="0" xfId="1" applyFont="1" applyBorder="1" applyAlignment="1" applyProtection="1">
      <alignment horizontal="center" vertical="center"/>
      <protection hidden="1"/>
    </xf>
    <xf numFmtId="0" fontId="150" fillId="0" borderId="47" xfId="1" applyFont="1" applyBorder="1" applyAlignment="1" applyProtection="1">
      <alignment horizontal="center" vertical="center"/>
      <protection hidden="1"/>
    </xf>
    <xf numFmtId="0" fontId="151" fillId="0" borderId="0" xfId="1" applyFont="1" applyBorder="1" applyAlignment="1" applyProtection="1">
      <alignment horizontal="left" vertical="center"/>
      <protection hidden="1"/>
    </xf>
    <xf numFmtId="0" fontId="151" fillId="0" borderId="47" xfId="1" applyFont="1" applyBorder="1" applyAlignment="1" applyProtection="1">
      <alignment horizontal="left" vertical="center"/>
      <protection hidden="1"/>
    </xf>
    <xf numFmtId="0" fontId="153" fillId="0" borderId="0" xfId="1" applyFont="1" applyBorder="1" applyAlignment="1" applyProtection="1">
      <alignment horizontal="left" vertical="center" wrapText="1"/>
      <protection hidden="1"/>
    </xf>
    <xf numFmtId="0" fontId="36" fillId="0" borderId="0" xfId="1" quotePrefix="1" applyFont="1" applyBorder="1" applyAlignment="1" applyProtection="1">
      <alignment horizontal="center" vertical="center"/>
      <protection hidden="1"/>
    </xf>
    <xf numFmtId="0" fontId="36" fillId="0" borderId="0" xfId="1" applyFont="1" applyBorder="1" applyAlignment="1" applyProtection="1">
      <alignment horizontal="center" vertical="center"/>
      <protection hidden="1"/>
    </xf>
    <xf numFmtId="0" fontId="34" fillId="0" borderId="0" xfId="1" applyNumberFormat="1" applyFont="1" applyBorder="1" applyAlignment="1" applyProtection="1">
      <alignment horizontal="center" vertical="center"/>
      <protection hidden="1"/>
    </xf>
    <xf numFmtId="0" fontId="30" fillId="0" borderId="0" xfId="1" applyFont="1" applyBorder="1" applyAlignment="1" applyProtection="1">
      <alignment horizontal="left" vertical="center"/>
      <protection hidden="1"/>
    </xf>
    <xf numFmtId="0" fontId="155" fillId="0" borderId="0" xfId="1" applyFont="1" applyBorder="1" applyAlignment="1" applyProtection="1">
      <alignment horizontal="left" vertical="center"/>
      <protection hidden="1"/>
    </xf>
    <xf numFmtId="0" fontId="155" fillId="0" borderId="47" xfId="1" applyFont="1" applyBorder="1" applyAlignment="1" applyProtection="1">
      <alignment horizontal="left" vertical="center"/>
      <protection hidden="1"/>
    </xf>
    <xf numFmtId="0" fontId="36" fillId="0" borderId="47" xfId="1" applyFont="1" applyBorder="1" applyAlignment="1" applyProtection="1">
      <alignment horizontal="center" vertical="center"/>
      <protection hidden="1"/>
    </xf>
    <xf numFmtId="0" fontId="12" fillId="0" borderId="0" xfId="1" applyFont="1" applyAlignment="1" applyProtection="1">
      <alignment horizontal="center" vertical="center" wrapText="1"/>
      <protection hidden="1"/>
    </xf>
    <xf numFmtId="0" fontId="12" fillId="0" borderId="47" xfId="1" applyFont="1" applyBorder="1" applyAlignment="1" applyProtection="1">
      <alignment horizontal="center" vertical="center" wrapText="1"/>
      <protection hidden="1"/>
    </xf>
    <xf numFmtId="0" fontId="12" fillId="0" borderId="0" xfId="1" applyFont="1" applyBorder="1" applyAlignment="1" applyProtection="1">
      <alignment horizontal="center" vertical="center"/>
      <protection hidden="1"/>
    </xf>
    <xf numFmtId="0" fontId="188" fillId="10" borderId="37" xfId="0" applyFont="1" applyFill="1" applyBorder="1" applyAlignment="1" applyProtection="1">
      <alignment horizontal="left" vertical="center"/>
      <protection hidden="1"/>
    </xf>
    <xf numFmtId="0" fontId="188" fillId="10" borderId="36" xfId="0" applyFont="1" applyFill="1" applyBorder="1" applyAlignment="1" applyProtection="1">
      <alignment horizontal="left" vertical="center"/>
      <protection hidden="1"/>
    </xf>
    <xf numFmtId="0" fontId="188" fillId="10" borderId="46" xfId="0" applyFont="1" applyFill="1" applyBorder="1" applyAlignment="1" applyProtection="1">
      <alignment horizontal="left" vertical="center"/>
      <protection hidden="1"/>
    </xf>
    <xf numFmtId="0" fontId="188" fillId="10" borderId="23" xfId="0" applyFont="1" applyFill="1" applyBorder="1" applyAlignment="1" applyProtection="1">
      <alignment horizontal="left" vertical="center"/>
      <protection hidden="1"/>
    </xf>
    <xf numFmtId="0" fontId="71" fillId="6" borderId="195" xfId="0" applyFont="1" applyFill="1" applyBorder="1" applyAlignment="1" applyProtection="1">
      <alignment horizontal="center" vertical="center"/>
      <protection hidden="1"/>
    </xf>
    <xf numFmtId="0" fontId="71" fillId="6" borderId="196" xfId="0" applyFont="1" applyFill="1" applyBorder="1" applyAlignment="1" applyProtection="1">
      <alignment horizontal="center" vertical="center"/>
      <protection hidden="1"/>
    </xf>
    <xf numFmtId="0" fontId="71" fillId="6" borderId="197" xfId="0" applyFont="1" applyFill="1" applyBorder="1" applyAlignment="1" applyProtection="1">
      <alignment horizontal="center" vertical="center"/>
      <protection hidden="1"/>
    </xf>
    <xf numFmtId="0" fontId="72" fillId="14" borderId="169" xfId="0" applyFont="1" applyFill="1" applyBorder="1" applyAlignment="1" applyProtection="1">
      <alignment horizontal="right" vertical="center"/>
      <protection hidden="1"/>
    </xf>
    <xf numFmtId="0" fontId="72" fillId="14" borderId="170" xfId="0" applyFont="1" applyFill="1" applyBorder="1" applyAlignment="1" applyProtection="1">
      <alignment horizontal="right" vertical="center"/>
      <protection hidden="1"/>
    </xf>
    <xf numFmtId="0" fontId="72" fillId="14" borderId="171" xfId="0" applyFont="1" applyFill="1" applyBorder="1" applyAlignment="1" applyProtection="1">
      <alignment horizontal="right" vertical="center"/>
      <protection hidden="1"/>
    </xf>
    <xf numFmtId="0" fontId="3" fillId="2" borderId="164" xfId="0" applyFont="1" applyFill="1" applyBorder="1" applyAlignment="1" applyProtection="1">
      <alignment horizontal="center" vertical="center" wrapText="1"/>
      <protection hidden="1"/>
    </xf>
    <xf numFmtId="0" fontId="3" fillId="2" borderId="167" xfId="0" applyFont="1" applyFill="1" applyBorder="1" applyAlignment="1" applyProtection="1">
      <alignment horizontal="center" vertical="center" wrapText="1"/>
      <protection hidden="1"/>
    </xf>
    <xf numFmtId="0" fontId="75" fillId="2" borderId="165" xfId="0" applyFont="1" applyFill="1" applyBorder="1" applyAlignment="1" applyProtection="1">
      <alignment horizontal="center" vertical="center" wrapText="1"/>
      <protection hidden="1"/>
    </xf>
    <xf numFmtId="0" fontId="75" fillId="2" borderId="58" xfId="0" applyFont="1" applyFill="1" applyBorder="1" applyAlignment="1" applyProtection="1">
      <alignment horizontal="center" vertical="center" wrapText="1"/>
      <protection hidden="1"/>
    </xf>
    <xf numFmtId="0" fontId="3" fillId="2" borderId="165" xfId="0" applyFont="1" applyFill="1" applyBorder="1" applyAlignment="1" applyProtection="1">
      <alignment horizontal="center" vertical="center" wrapText="1"/>
      <protection hidden="1"/>
    </xf>
    <xf numFmtId="0" fontId="3" fillId="2" borderId="58" xfId="0" applyFont="1" applyFill="1" applyBorder="1" applyAlignment="1" applyProtection="1">
      <alignment horizontal="center" vertical="center" wrapText="1"/>
      <protection hidden="1"/>
    </xf>
    <xf numFmtId="0" fontId="3" fillId="2" borderId="166" xfId="0" applyFont="1" applyFill="1" applyBorder="1" applyAlignment="1" applyProtection="1">
      <alignment horizontal="center" vertical="center" wrapText="1"/>
      <protection hidden="1"/>
    </xf>
    <xf numFmtId="0" fontId="3" fillId="2" borderId="168" xfId="0" applyFont="1" applyFill="1" applyBorder="1" applyAlignment="1" applyProtection="1">
      <alignment horizontal="center" vertical="center" wrapText="1"/>
      <protection hidden="1"/>
    </xf>
    <xf numFmtId="0" fontId="48" fillId="2" borderId="172" xfId="0" applyFont="1" applyFill="1" applyBorder="1" applyAlignment="1" applyProtection="1">
      <alignment horizontal="center" vertical="center"/>
      <protection hidden="1"/>
    </xf>
    <xf numFmtId="0" fontId="48" fillId="2" borderId="132" xfId="0" applyFont="1" applyFill="1" applyBorder="1" applyAlignment="1" applyProtection="1">
      <alignment horizontal="center" vertical="center"/>
      <protection hidden="1"/>
    </xf>
    <xf numFmtId="0" fontId="48" fillId="2" borderId="173" xfId="0" applyFont="1" applyFill="1" applyBorder="1" applyAlignment="1" applyProtection="1">
      <alignment horizontal="center" vertical="center"/>
      <protection hidden="1"/>
    </xf>
    <xf numFmtId="0" fontId="159" fillId="24" borderId="174" xfId="0" applyFont="1" applyFill="1" applyBorder="1" applyAlignment="1" applyProtection="1">
      <alignment horizontal="left" vertical="center"/>
      <protection hidden="1"/>
    </xf>
    <xf numFmtId="0" fontId="159" fillId="24" borderId="139" xfId="0" applyFont="1" applyFill="1" applyBorder="1" applyAlignment="1" applyProtection="1">
      <alignment horizontal="left" vertical="center"/>
      <protection hidden="1"/>
    </xf>
    <xf numFmtId="0" fontId="159" fillId="24" borderId="175" xfId="0" applyFont="1" applyFill="1" applyBorder="1" applyAlignment="1" applyProtection="1">
      <alignment horizontal="left" vertical="center"/>
      <protection hidden="1"/>
    </xf>
    <xf numFmtId="0" fontId="159" fillId="24" borderId="176" xfId="0" applyFont="1" applyFill="1" applyBorder="1" applyAlignment="1" applyProtection="1">
      <alignment horizontal="left" vertical="center"/>
      <protection hidden="1"/>
    </xf>
    <xf numFmtId="0" fontId="159" fillId="24" borderId="0" xfId="0" applyFont="1" applyFill="1" applyBorder="1" applyAlignment="1" applyProtection="1">
      <alignment horizontal="left" vertical="center"/>
      <protection hidden="1"/>
    </xf>
    <xf numFmtId="0" fontId="159" fillId="24" borderId="177" xfId="0" applyFont="1" applyFill="1" applyBorder="1" applyAlignment="1" applyProtection="1">
      <alignment horizontal="left" vertical="center"/>
      <protection hidden="1"/>
    </xf>
    <xf numFmtId="0" fontId="159" fillId="24" borderId="178" xfId="0" applyFont="1" applyFill="1" applyBorder="1" applyAlignment="1" applyProtection="1">
      <alignment horizontal="left" vertical="center"/>
      <protection hidden="1"/>
    </xf>
    <xf numFmtId="0" fontId="159" fillId="24" borderId="179" xfId="0" applyFont="1" applyFill="1" applyBorder="1" applyAlignment="1" applyProtection="1">
      <alignment horizontal="left" vertical="center"/>
      <protection hidden="1"/>
    </xf>
    <xf numFmtId="0" fontId="159" fillId="24" borderId="180" xfId="0" applyFont="1" applyFill="1" applyBorder="1" applyAlignment="1" applyProtection="1">
      <alignment horizontal="left" vertical="center"/>
      <protection hidden="1"/>
    </xf>
    <xf numFmtId="0" fontId="136" fillId="0" borderId="141" xfId="0" applyFont="1" applyBorder="1" applyAlignment="1" applyProtection="1">
      <alignment horizontal="center" vertical="center"/>
      <protection hidden="1"/>
    </xf>
    <xf numFmtId="0" fontId="134" fillId="6" borderId="5" xfId="0" applyFont="1" applyFill="1" applyBorder="1" applyAlignment="1" applyProtection="1">
      <alignment horizontal="center" vertical="center" wrapText="1"/>
      <protection hidden="1"/>
    </xf>
    <xf numFmtId="0" fontId="139" fillId="6" borderId="58" xfId="0" applyFont="1" applyFill="1" applyBorder="1" applyAlignment="1" applyProtection="1">
      <alignment horizontal="center" vertical="center" wrapText="1"/>
      <protection hidden="1"/>
    </xf>
    <xf numFmtId="0" fontId="139" fillId="6" borderId="5" xfId="0" applyFont="1" applyFill="1" applyBorder="1" applyAlignment="1" applyProtection="1">
      <alignment horizontal="center" vertical="center" wrapText="1"/>
      <protection hidden="1"/>
    </xf>
    <xf numFmtId="0" fontId="134" fillId="6" borderId="137" xfId="0" applyFont="1" applyFill="1" applyBorder="1" applyAlignment="1" applyProtection="1">
      <alignment horizontal="center" vertical="center" wrapText="1"/>
      <protection hidden="1"/>
    </xf>
    <xf numFmtId="0" fontId="134" fillId="6" borderId="58" xfId="0" applyFont="1" applyFill="1" applyBorder="1" applyAlignment="1" applyProtection="1">
      <alignment horizontal="center" vertical="center" wrapText="1"/>
      <protection hidden="1"/>
    </xf>
    <xf numFmtId="0" fontId="139" fillId="6" borderId="137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/>
    </xf>
    <xf numFmtId="0" fontId="12" fillId="2" borderId="159" xfId="0" applyFont="1" applyFill="1" applyBorder="1" applyAlignment="1" applyProtection="1">
      <alignment horizontal="left" vertical="center" wrapText="1"/>
      <protection hidden="1"/>
    </xf>
    <xf numFmtId="0" fontId="12" fillId="2" borderId="161" xfId="0" applyFont="1" applyFill="1" applyBorder="1" applyAlignment="1" applyProtection="1">
      <alignment horizontal="left" vertical="center" wrapText="1"/>
      <protection hidden="1"/>
    </xf>
    <xf numFmtId="0" fontId="138" fillId="14" borderId="183" xfId="0" applyFont="1" applyFill="1" applyBorder="1" applyAlignment="1" applyProtection="1">
      <alignment horizontal="right" vertical="center"/>
      <protection hidden="1"/>
    </xf>
    <xf numFmtId="0" fontId="138" fillId="14" borderId="184" xfId="0" applyFont="1" applyFill="1" applyBorder="1" applyAlignment="1" applyProtection="1">
      <alignment horizontal="right" vertical="center"/>
      <protection hidden="1"/>
    </xf>
    <xf numFmtId="0" fontId="138" fillId="14" borderId="185" xfId="0" applyFont="1" applyFill="1" applyBorder="1" applyAlignment="1" applyProtection="1">
      <alignment horizontal="right" vertical="center"/>
      <protection hidden="1"/>
    </xf>
    <xf numFmtId="0" fontId="138" fillId="14" borderId="187" xfId="0" quotePrefix="1" applyFont="1" applyFill="1" applyBorder="1" applyAlignment="1" applyProtection="1">
      <alignment horizontal="left" vertical="center"/>
      <protection hidden="1"/>
    </xf>
    <xf numFmtId="0" fontId="138" fillId="14" borderId="184" xfId="0" quotePrefix="1" applyFont="1" applyFill="1" applyBorder="1" applyAlignment="1" applyProtection="1">
      <alignment horizontal="left" vertical="center"/>
      <protection hidden="1"/>
    </xf>
    <xf numFmtId="0" fontId="138" fillId="14" borderId="188" xfId="0" quotePrefix="1" applyFont="1" applyFill="1" applyBorder="1" applyAlignment="1" applyProtection="1">
      <alignment horizontal="left" vertical="center"/>
      <protection hidden="1"/>
    </xf>
    <xf numFmtId="0" fontId="29" fillId="0" borderId="140" xfId="0" applyFont="1" applyFill="1" applyBorder="1" applyAlignment="1" applyProtection="1">
      <alignment horizontal="center" vertical="center" wrapText="1"/>
      <protection hidden="1"/>
    </xf>
    <xf numFmtId="0" fontId="29" fillId="0" borderId="141" xfId="0" applyFont="1" applyFill="1" applyBorder="1" applyAlignment="1" applyProtection="1">
      <alignment horizontal="center" vertical="center" wrapText="1"/>
      <protection hidden="1"/>
    </xf>
    <xf numFmtId="0" fontId="29" fillId="0" borderId="142" xfId="0" applyFont="1" applyFill="1" applyBorder="1" applyAlignment="1" applyProtection="1">
      <alignment horizontal="center" vertical="center" wrapText="1"/>
      <protection hidden="1"/>
    </xf>
    <xf numFmtId="0" fontId="29" fillId="0" borderId="14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144" xfId="0" applyFont="1" applyFill="1" applyBorder="1" applyAlignment="1" applyProtection="1">
      <alignment horizontal="center" vertical="center" wrapText="1"/>
      <protection hidden="1"/>
    </xf>
    <xf numFmtId="0" fontId="29" fillId="0" borderId="145" xfId="0" applyFont="1" applyFill="1" applyBorder="1" applyAlignment="1" applyProtection="1">
      <alignment horizontal="center" vertical="center" wrapText="1"/>
      <protection hidden="1"/>
    </xf>
    <xf numFmtId="0" fontId="29" fillId="0" borderId="146" xfId="0" applyFont="1" applyFill="1" applyBorder="1" applyAlignment="1" applyProtection="1">
      <alignment horizontal="center" vertical="center" wrapText="1"/>
      <protection hidden="1"/>
    </xf>
    <xf numFmtId="0" fontId="29" fillId="0" borderId="147" xfId="0" applyFont="1" applyFill="1" applyBorder="1" applyAlignment="1" applyProtection="1">
      <alignment horizontal="center" vertical="center" wrapText="1"/>
      <protection hidden="1"/>
    </xf>
    <xf numFmtId="0" fontId="3" fillId="2" borderId="148" xfId="0" applyFont="1" applyFill="1" applyBorder="1" applyAlignment="1" applyProtection="1">
      <alignment horizontal="center" vertical="center" wrapText="1"/>
      <protection hidden="1"/>
    </xf>
    <xf numFmtId="0" fontId="3" fillId="2" borderId="152" xfId="0" applyFont="1" applyFill="1" applyBorder="1" applyAlignment="1" applyProtection="1">
      <alignment horizontal="center" vertical="center"/>
      <protection hidden="1"/>
    </xf>
    <xf numFmtId="0" fontId="3" fillId="2" borderId="154" xfId="0" applyFont="1" applyFill="1" applyBorder="1" applyAlignment="1" applyProtection="1">
      <alignment horizontal="center" vertical="center"/>
      <protection hidden="1"/>
    </xf>
    <xf numFmtId="0" fontId="8" fillId="0" borderId="192" xfId="0" applyFont="1" applyBorder="1" applyAlignment="1" applyProtection="1">
      <alignment horizontal="center"/>
    </xf>
  </cellXfs>
  <cellStyles count="12">
    <cellStyle name="Comma 2" xfId="4"/>
    <cellStyle name="Comma 2 2" xfId="11"/>
    <cellStyle name="Normal" xfId="0" builtinId="0"/>
    <cellStyle name="Normal 2" xfId="1"/>
    <cellStyle name="Normal 2 2" xfId="8"/>
    <cellStyle name="Normal 3" xfId="2"/>
    <cellStyle name="Normal 3 2" xfId="7"/>
    <cellStyle name="Normal 4" xfId="5"/>
    <cellStyle name="Normal 5" xfId="6"/>
    <cellStyle name="Percent" xfId="10" builtinId="5"/>
    <cellStyle name="Percent 2" xfId="3"/>
    <cellStyle name="Percent 2 2" xfId="9"/>
  </cellStyles>
  <dxfs count="22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1"/>
      </font>
      <fill>
        <patternFill patternType="solid">
          <bgColor theme="5" tint="-0.24994659260841701"/>
        </patternFill>
      </fill>
    </dxf>
    <dxf>
      <font>
        <color theme="1"/>
      </font>
      <fill>
        <patternFill>
          <bgColor rgb="FFFFFF00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 style="hair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CA08E"/>
      <color rgb="FF0053FA"/>
      <color rgb="FFBBF3FB"/>
      <color rgb="FFAEF949"/>
      <color rgb="FFF9BFEE"/>
      <color rgb="FFFCBFA6"/>
      <color rgb="FF37ED5A"/>
      <color rgb="FF8A85F7"/>
      <color rgb="FF92F8AA"/>
      <color rgb="FFFEEA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26</xdr:row>
      <xdr:rowOff>85728</xdr:rowOff>
    </xdr:from>
    <xdr:to>
      <xdr:col>8</xdr:col>
      <xdr:colOff>152403</xdr:colOff>
      <xdr:row>36</xdr:row>
      <xdr:rowOff>95251</xdr:rowOff>
    </xdr:to>
    <xdr:cxnSp macro="">
      <xdr:nvCxnSpPr>
        <xdr:cNvPr id="5" name="Elbow Connector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 rot="5400000" flipH="1" flipV="1">
          <a:off x="3048002" y="5534026"/>
          <a:ext cx="1914523" cy="200028"/>
        </a:xfrm>
        <a:prstGeom prst="bentConnector3">
          <a:avLst>
            <a:gd name="adj1" fmla="val 120149"/>
          </a:avLst>
        </a:prstGeom>
        <a:ln w="50800" cap="sq" cmpd="tri">
          <a:solidFill>
            <a:schemeClr val="tx1"/>
          </a:solidFill>
          <a:prstDash val="sysDash"/>
          <a:round/>
          <a:headEnd type="diamond" w="med" len="med"/>
          <a:tailEnd type="stealth" w="lg" len="med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114303</xdr:colOff>
      <xdr:row>33</xdr:row>
      <xdr:rowOff>19051</xdr:rowOff>
    </xdr:from>
    <xdr:to>
      <xdr:col>21</xdr:col>
      <xdr:colOff>285750</xdr:colOff>
      <xdr:row>39</xdr:row>
      <xdr:rowOff>104776</xdr:rowOff>
    </xdr:to>
    <xdr:cxnSp macro="">
      <xdr:nvCxnSpPr>
        <xdr:cNvPr id="3" name="Elbow Connector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 rot="5400000" flipH="1" flipV="1">
          <a:off x="10729914" y="7119940"/>
          <a:ext cx="1228725" cy="171447"/>
        </a:xfrm>
        <a:prstGeom prst="bentConnector3">
          <a:avLst>
            <a:gd name="adj1" fmla="val -13566"/>
          </a:avLst>
        </a:prstGeom>
        <a:ln w="60325" cap="flat" cmpd="tri">
          <a:solidFill>
            <a:schemeClr val="tx1"/>
          </a:solidFill>
          <a:prstDash val="sysDash"/>
          <a:round/>
          <a:headEnd type="oval" w="med" len="sm"/>
          <a:tailEnd type="triangle" w="med" len="med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962026</xdr:colOff>
      <xdr:row>18</xdr:row>
      <xdr:rowOff>76200</xdr:rowOff>
    </xdr:from>
    <xdr:to>
      <xdr:col>4</xdr:col>
      <xdr:colOff>1524000</xdr:colOff>
      <xdr:row>21</xdr:row>
      <xdr:rowOff>104774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82B9483C-C0F3-45D5-95DC-31AC1226D40E}"/>
            </a:ext>
          </a:extLst>
        </xdr:cNvPr>
        <xdr:cNvSpPr/>
      </xdr:nvSpPr>
      <xdr:spPr>
        <a:xfrm>
          <a:off x="4324351" y="4391025"/>
          <a:ext cx="561974" cy="600074"/>
        </a:xfrm>
        <a:prstGeom prst="rect">
          <a:avLst/>
        </a:prstGeom>
        <a:ln w="19050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N" sz="800" b="1" i="0" u="none">
              <a:solidFill>
                <a:srgbClr val="FF0000"/>
              </a:solidFill>
            </a:rPr>
            <a:t>Affix Revenue stamp of Rs.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</sheetPr>
  <dimension ref="A1:EV100"/>
  <sheetViews>
    <sheetView zoomScaleNormal="100" workbookViewId="0">
      <pane ySplit="1" topLeftCell="A2" activePane="bottomLeft" state="frozen"/>
      <selection activeCell="D13" sqref="D13:E13"/>
      <selection pane="bottomLeft" activeCell="S1" sqref="S1"/>
    </sheetView>
  </sheetViews>
  <sheetFormatPr defaultColWidth="8.5703125" defaultRowHeight="15"/>
  <cols>
    <col min="1" max="1" width="1" style="6" customWidth="1"/>
    <col min="2" max="2" width="1.7109375" style="667" hidden="1" customWidth="1" collapsed="1"/>
    <col min="3" max="3" width="2.42578125" style="6" hidden="1" customWidth="1"/>
    <col min="4" max="4" width="2.7109375" style="6" hidden="1" customWidth="1" collapsed="1"/>
    <col min="5" max="5" width="9.7109375" style="20" hidden="1" customWidth="1" collapsed="1"/>
    <col min="6" max="6" width="11.5703125" style="20" hidden="1" customWidth="1" collapsed="1"/>
    <col min="7" max="7" width="2.7109375" style="6" hidden="1" customWidth="1" collapsed="1"/>
    <col min="8" max="11" width="9.28515625" style="6" hidden="1" customWidth="1" collapsed="1"/>
    <col min="12" max="12" width="2.7109375" style="6" hidden="1" customWidth="1" collapsed="1"/>
    <col min="13" max="13" width="3" style="6" hidden="1" customWidth="1" collapsed="1"/>
    <col min="14" max="14" width="6.7109375" style="12" hidden="1" customWidth="1" collapsed="1"/>
    <col min="15" max="16" width="6.7109375" style="6" hidden="1" customWidth="1" collapsed="1"/>
    <col min="17" max="17" width="6.7109375" style="6" hidden="1" customWidth="1"/>
    <col min="18" max="18" width="1.42578125" style="6" hidden="1" customWidth="1" collapsed="1"/>
    <col min="19" max="19" width="6.7109375" style="6" customWidth="1"/>
    <col min="20" max="20" width="9.7109375" style="6" customWidth="1"/>
    <col min="21" max="26" width="7" style="6" customWidth="1"/>
    <col min="27" max="28" width="7.7109375" style="6" customWidth="1"/>
    <col min="29" max="31" width="7" style="6" customWidth="1"/>
    <col min="32" max="37" width="6.7109375" style="6" customWidth="1"/>
    <col min="38" max="38" width="9.7109375" style="6" customWidth="1"/>
    <col min="39" max="40" width="6.7109375" style="6" customWidth="1"/>
    <col min="41" max="41" width="11.42578125" style="6" customWidth="1"/>
    <col min="42" max="42" width="9.7109375" style="6" customWidth="1"/>
    <col min="43" max="43" width="10.7109375" style="6" customWidth="1"/>
    <col min="44" max="44" width="9.7109375" style="6" customWidth="1"/>
    <col min="45" max="45" width="4.7109375" style="6" customWidth="1"/>
    <col min="46" max="46" width="2.7109375" style="6" customWidth="1" collapsed="1"/>
    <col min="47" max="47" width="10.28515625" style="6" hidden="1" customWidth="1"/>
    <col min="48" max="49" width="10.28515625" style="9" hidden="1" customWidth="1" collapsed="1"/>
    <col min="50" max="50" width="9.28515625" style="6" hidden="1" customWidth="1" collapsed="1"/>
    <col min="51" max="51" width="4" style="6" hidden="1" customWidth="1"/>
    <col min="52" max="52" width="25.28515625" style="6" hidden="1" customWidth="1" collapsed="1"/>
    <col min="53" max="53" width="6.85546875" style="21" hidden="1" customWidth="1"/>
    <col min="54" max="54" width="15.7109375" style="21" hidden="1" customWidth="1"/>
    <col min="55" max="58" width="6.7109375" style="21" hidden="1" customWidth="1"/>
    <col min="59" max="59" width="6.85546875" style="21" hidden="1" customWidth="1"/>
    <col min="60" max="60" width="8.5703125" style="21" hidden="1" customWidth="1"/>
    <col min="61" max="61" width="7.7109375" style="21" hidden="1" customWidth="1"/>
    <col min="62" max="62" width="6.5703125" style="21" hidden="1" customWidth="1"/>
    <col min="63" max="63" width="8.140625" style="21" hidden="1" customWidth="1"/>
    <col min="64" max="67" width="8.7109375" style="20" hidden="1" customWidth="1"/>
    <col min="68" max="69" width="11.7109375" style="20" hidden="1" customWidth="1"/>
    <col min="70" max="70" width="4" style="20" hidden="1" customWidth="1"/>
    <col min="71" max="71" width="8.5703125" style="634" hidden="1" customWidth="1" collapsed="1"/>
    <col min="72" max="74" width="8.5703125" style="634" hidden="1" customWidth="1"/>
    <col min="75" max="152" width="8.5703125" style="6"/>
    <col min="153" max="16384" width="8.5703125" style="6" collapsed="1"/>
  </cols>
  <sheetData>
    <row r="1" spans="2:78" s="359" customFormat="1" ht="15.75">
      <c r="B1" s="666"/>
      <c r="D1" s="808" t="s">
        <v>673</v>
      </c>
      <c r="E1" s="808"/>
      <c r="F1" s="808"/>
      <c r="M1" s="604"/>
      <c r="N1" s="596" t="s">
        <v>855</v>
      </c>
      <c r="O1" s="382" t="s">
        <v>5</v>
      </c>
      <c r="P1" s="382" t="s">
        <v>2</v>
      </c>
      <c r="Q1" s="382" t="s">
        <v>875</v>
      </c>
      <c r="S1" s="713"/>
      <c r="T1" s="606" t="s">
        <v>657</v>
      </c>
      <c r="U1" s="734">
        <f>LOOKUP(AGIM,T2:T18,S2:S18)</f>
        <v>8</v>
      </c>
      <c r="V1" s="731" t="s">
        <v>888</v>
      </c>
      <c r="W1" s="734">
        <f>LOOKUP(AASM,T2:T18,S2:S18)</f>
        <v>0</v>
      </c>
      <c r="X1" s="635"/>
      <c r="Y1" s="731" t="s">
        <v>889</v>
      </c>
      <c r="Z1" s="735" t="s">
        <v>890</v>
      </c>
      <c r="AA1" s="734">
        <f>IF(PROTYPE="NA",U1,LOOKUP(PROM,T2:T17,S2:S17))</f>
        <v>8</v>
      </c>
      <c r="AB1" s="824" t="str">
        <f>IF(U1&gt;AA1,"PRO1 + AGI2",IF(U1&lt;AA1,"AGI1 + PRO1","AGI"))</f>
        <v>AGI</v>
      </c>
      <c r="AC1" s="824"/>
      <c r="AD1" s="734">
        <f>IF(AB1="PRO1 + AGI2",3,2)</f>
        <v>2</v>
      </c>
      <c r="AE1" s="734"/>
      <c r="AF1" s="735" t="s">
        <v>891</v>
      </c>
      <c r="AG1" s="734">
        <f>AA1</f>
        <v>8</v>
      </c>
      <c r="AH1" s="824" t="str">
        <f>IF(U1&gt;AA1,"PRO2 + AGI1",IF(U1&lt;AA1,"AGI1 + PRO2","AGI"))</f>
        <v>AGI</v>
      </c>
      <c r="AI1" s="824"/>
      <c r="AJ1" s="734">
        <f>IF(AH1="PRO2 + AGI1",3,2)</f>
        <v>2</v>
      </c>
      <c r="AK1" s="743"/>
      <c r="AL1" s="825" t="s">
        <v>893</v>
      </c>
      <c r="AM1" s="826"/>
      <c r="AN1" s="638"/>
      <c r="AO1" s="645" t="s">
        <v>674</v>
      </c>
      <c r="AP1" s="645"/>
      <c r="AQ1" s="806" t="s">
        <v>868</v>
      </c>
      <c r="AR1" s="807"/>
      <c r="AS1" s="638"/>
      <c r="AV1" s="5"/>
      <c r="AW1" s="5"/>
      <c r="AX1" s="338"/>
      <c r="BB1" s="672"/>
      <c r="BC1" s="672" t="s">
        <v>429</v>
      </c>
      <c r="BD1" s="672"/>
      <c r="BE1" s="672" t="str">
        <f>IF(AND(BB19="CPS", BD19="YES", BC15&gt;150000), "SPLIT", BB19)</f>
        <v>GPF</v>
      </c>
      <c r="BF1" s="672" t="s">
        <v>430</v>
      </c>
      <c r="BS1" s="671" t="s">
        <v>460</v>
      </c>
      <c r="BT1" s="688" t="s">
        <v>495</v>
      </c>
      <c r="BU1" s="688" t="s">
        <v>503</v>
      </c>
      <c r="BV1" s="670"/>
    </row>
    <row r="2" spans="2:78">
      <c r="D2" s="652">
        <v>1</v>
      </c>
      <c r="E2" s="653" t="s">
        <v>10</v>
      </c>
      <c r="F2" s="653" t="s">
        <v>11</v>
      </c>
      <c r="G2" s="361"/>
      <c r="H2" s="347"/>
      <c r="I2" s="347"/>
      <c r="J2" s="347"/>
      <c r="K2" s="362"/>
      <c r="M2" s="360">
        <v>1</v>
      </c>
      <c r="N2" s="3">
        <v>0</v>
      </c>
      <c r="O2" s="4">
        <v>13000</v>
      </c>
      <c r="P2" s="8">
        <v>13390</v>
      </c>
      <c r="Q2" s="4">
        <v>13780</v>
      </c>
      <c r="S2" s="382">
        <v>1</v>
      </c>
      <c r="T2" s="627">
        <v>43101</v>
      </c>
      <c r="U2" s="636" t="str">
        <f t="shared" ref="U2:U17" si="0">IF(MONTH(T2)=MONTH(AGIM),"AGI","")</f>
        <v/>
      </c>
      <c r="V2" s="730">
        <f>IF(DATA!G5&gt;0,DATA!G5,0)</f>
        <v>39160</v>
      </c>
      <c r="W2" s="636" t="str">
        <f t="shared" ref="W2:W17" si="1">IF(MONTH(T2)&amp;YEAR(T2)=MONTH(AASM)&amp;YEAR(AASM),"AAS","")</f>
        <v/>
      </c>
      <c r="X2" s="639">
        <f>V2</f>
        <v>39160</v>
      </c>
      <c r="Y2" s="703">
        <f>MAX(V2,X2)</f>
        <v>39160</v>
      </c>
      <c r="Z2" s="636" t="str">
        <f t="shared" ref="Z2:Z17" si="2">IF(PROTYPE="NA","",IF(MONTH(T2)&amp;YEAR(T2)=MONTH(PROM)&amp;YEAR(PROM),"PRO",""))</f>
        <v/>
      </c>
      <c r="AA2" s="92">
        <f>Y2</f>
        <v>39160</v>
      </c>
      <c r="AB2" s="92">
        <f>AA2</f>
        <v>39160</v>
      </c>
      <c r="AC2" s="92">
        <f>AB2</f>
        <v>39160</v>
      </c>
      <c r="AD2" s="703">
        <f>AC2</f>
        <v>39160</v>
      </c>
      <c r="AE2" s="703">
        <f>MAX(AC2,AD2)</f>
        <v>39160</v>
      </c>
      <c r="AF2" s="636" t="str">
        <f t="shared" ref="AF2:AF7" si="3">Z2</f>
        <v/>
      </c>
      <c r="AG2" s="736">
        <f>AA2</f>
        <v>39160</v>
      </c>
      <c r="AH2" s="736">
        <f>AB2</f>
        <v>39160</v>
      </c>
      <c r="AI2" s="736">
        <f t="shared" ref="AI2:AJ2" si="4">AC2</f>
        <v>39160</v>
      </c>
      <c r="AJ2" s="736">
        <f t="shared" si="4"/>
        <v>39160</v>
      </c>
      <c r="AK2" s="703">
        <f>MAX(AI2,AJ2)</f>
        <v>39160</v>
      </c>
      <c r="AL2" s="627">
        <v>43101</v>
      </c>
      <c r="AM2" s="736">
        <f t="shared" ref="AM2:AM17" si="5">IF(PROTYPE="PD",AK2,AE2)</f>
        <v>39160</v>
      </c>
      <c r="AN2" s="651"/>
      <c r="AO2" s="364">
        <f>IF(DATA!G7="NOT APPLICABLE",0,DATA!G7)</f>
        <v>0</v>
      </c>
      <c r="AP2" s="2"/>
      <c r="AQ2" s="364">
        <f>IF(DATA!G9="NOT APPLICABLE",0,DATA!G10)</f>
        <v>0</v>
      </c>
      <c r="AR2" s="2"/>
      <c r="AS2" s="651"/>
      <c r="AT2" s="361"/>
      <c r="AU2" s="363" t="s">
        <v>1</v>
      </c>
      <c r="AV2" s="363" t="s">
        <v>1</v>
      </c>
      <c r="AW2" s="352" t="s">
        <v>675</v>
      </c>
      <c r="AX2" s="353" t="s">
        <v>272</v>
      </c>
      <c r="AZ2" s="684" t="s">
        <v>354</v>
      </c>
      <c r="BA2" s="6"/>
      <c r="BB2" s="672" t="s">
        <v>417</v>
      </c>
      <c r="BC2" s="673">
        <f>'ANNEXURE I'!O25</f>
        <v>133075</v>
      </c>
      <c r="BD2" s="674">
        <f>BD22</f>
        <v>107480</v>
      </c>
      <c r="BE2" s="674">
        <f>IF(BE1="SPLIT", BD2, BC2)</f>
        <v>133075</v>
      </c>
      <c r="BF2" s="674">
        <f>IF(BE1="SPLIT", MIN(100000, BE2), BC2)</f>
        <v>133075</v>
      </c>
      <c r="BG2" s="6"/>
      <c r="BH2" s="676" t="s">
        <v>269</v>
      </c>
      <c r="BI2" s="676"/>
      <c r="BJ2" s="676"/>
      <c r="BK2" s="676"/>
      <c r="BL2" s="676"/>
      <c r="BM2" s="676"/>
      <c r="BN2" s="676"/>
      <c r="BO2" s="676"/>
      <c r="BP2" s="677" t="s">
        <v>886</v>
      </c>
      <c r="BQ2" s="677" t="s">
        <v>887</v>
      </c>
      <c r="BR2" s="640"/>
      <c r="BS2" s="671" t="s">
        <v>857</v>
      </c>
      <c r="BT2" s="689">
        <v>0.5</v>
      </c>
      <c r="BU2" s="690">
        <v>0.18340000000000001</v>
      </c>
      <c r="BV2" s="692">
        <v>0</v>
      </c>
      <c r="BZ2" s="728"/>
    </row>
    <row r="3" spans="2:78">
      <c r="D3" s="652">
        <v>2</v>
      </c>
      <c r="E3" s="653" t="s">
        <v>12</v>
      </c>
      <c r="F3" s="653" t="s">
        <v>13</v>
      </c>
      <c r="G3" s="361"/>
      <c r="H3" s="367">
        <f>IF('ANNEXURE II'!I64=0,0,IF('ANNEXURE II'!I64&lt;0,-'ANNEXURE II'!I64,'ANNEXURE II'!I64))</f>
        <v>9948</v>
      </c>
      <c r="I3" s="368" t="s">
        <v>672</v>
      </c>
      <c r="J3" s="362"/>
      <c r="K3" s="362"/>
      <c r="M3" s="366">
        <v>2</v>
      </c>
      <c r="N3" s="4">
        <v>13000</v>
      </c>
      <c r="O3" s="4">
        <v>13390</v>
      </c>
      <c r="P3" s="4">
        <v>13780</v>
      </c>
      <c r="Q3" s="4">
        <v>14170</v>
      </c>
      <c r="S3" s="656">
        <v>2</v>
      </c>
      <c r="T3" s="628">
        <v>43132</v>
      </c>
      <c r="U3" s="636" t="str">
        <f t="shared" si="0"/>
        <v/>
      </c>
      <c r="V3" s="730">
        <f t="shared" ref="V3:V17" si="6">IF(U3="",V2,IF(U3="AGI",LOOKUP(V2,BASICS,AGI),V2))</f>
        <v>39160</v>
      </c>
      <c r="W3" s="636" t="str">
        <f t="shared" si="1"/>
        <v/>
      </c>
      <c r="X3" s="639">
        <f t="shared" ref="X3:X17" si="7">IF(W3="AAS",LOOKUP(V3,AGI,AAS),IF(U3="AGI",LOOKUP(X2,BASICS,AGI),             X2))</f>
        <v>39160</v>
      </c>
      <c r="Y3" s="703">
        <f t="shared" ref="Y3:Y17" si="8">MAX(V3,X3)</f>
        <v>39160</v>
      </c>
      <c r="Z3" s="636" t="str">
        <f t="shared" si="2"/>
        <v/>
      </c>
      <c r="AA3" s="729">
        <f>IF(MONTH(PROM)&amp;YEAR(PROM)=MONTH(T3)&amp;YEAR(T3),LOOKUP(Y3,BASICS,AGI),AA2)</f>
        <v>39160</v>
      </c>
      <c r="AB3" s="729">
        <f t="shared" ref="AB3:AB17" si="9">IF(U3="AGI",LOOKUP(Y3,AGI,PRO),AB2)</f>
        <v>39160</v>
      </c>
      <c r="AC3" s="92">
        <f t="shared" ref="AC3:AC17" si="10">IF(HOW=2,MAX(Y3,AA3),IF(HOW=3,MAX(AA3,AB3),Y3))</f>
        <v>39160</v>
      </c>
      <c r="AD3" s="744">
        <f t="shared" ref="AD3:AD17" si="11">IF(W3="AAS",LOOKUP(AC3,AGI,AAS),AD2)</f>
        <v>39160</v>
      </c>
      <c r="AE3" s="703">
        <f t="shared" ref="AE3:AE17" si="12">IF(PROTYPE="NA",Y3,MAX(AC3,AD3))</f>
        <v>39160</v>
      </c>
      <c r="AF3" s="636" t="str">
        <f t="shared" si="3"/>
        <v/>
      </c>
      <c r="AG3" s="737">
        <f t="shared" ref="AG3:AG17" si="13">IF(MONTH(PROM)&amp;YEAR(PROM)=MONTH(T3)&amp;YEAR(T3),LOOKUP(Y3,BASICS,AAS),AG2)</f>
        <v>39160</v>
      </c>
      <c r="AH3" s="737">
        <f t="shared" ref="AH3:AH17" si="14">IF(U3="AGI",LOOKUP(Y3,AGI,PRO),AH2)</f>
        <v>39160</v>
      </c>
      <c r="AI3" s="737">
        <f t="shared" ref="AI3:AI17" si="15">IF(HOW=2,MAX(Y3,AG3),IF(HOW=3,MAX(AG3,AH3),Y3))</f>
        <v>39160</v>
      </c>
      <c r="AJ3" s="738">
        <f t="shared" ref="AJ3:AJ17" si="16">IF(W3="AAS",LOOKUP(AI3,AGI,AAS),AJ2)</f>
        <v>39160</v>
      </c>
      <c r="AK3" s="703">
        <f t="shared" ref="AK3:AK17" si="17">IF(PROTYPE="NA",Y3,MAX(AI3,AJ3))</f>
        <v>39160</v>
      </c>
      <c r="AL3" s="628">
        <v>43132</v>
      </c>
      <c r="AM3" s="736">
        <f t="shared" si="5"/>
        <v>39160</v>
      </c>
      <c r="AN3" s="637"/>
      <c r="AO3" s="364">
        <f>EOMONTH(AO2,0)</f>
        <v>31</v>
      </c>
      <c r="AP3" s="2"/>
      <c r="AQ3" s="364">
        <f>EOMONTH(AQ2,0)</f>
        <v>31</v>
      </c>
      <c r="AR3" s="2"/>
      <c r="AS3" s="637"/>
      <c r="AT3" s="361"/>
      <c r="AU3" s="17">
        <v>42767</v>
      </c>
      <c r="AV3" s="17">
        <v>43132</v>
      </c>
      <c r="AW3" s="348">
        <v>0.22008</v>
      </c>
      <c r="AX3" s="349">
        <f>AX4</f>
        <v>0.12</v>
      </c>
      <c r="AZ3" s="684" t="s">
        <v>244</v>
      </c>
      <c r="BA3" s="6"/>
      <c r="BB3" s="672" t="s">
        <v>216</v>
      </c>
      <c r="BC3" s="673">
        <f>'ANNEXURE I'!P25</f>
        <v>16800</v>
      </c>
      <c r="BD3" s="673">
        <f t="shared" ref="BD3:BD14" si="18">BC3</f>
        <v>16800</v>
      </c>
      <c r="BE3" s="673">
        <f t="shared" ref="BE3:BF14" si="19">BD3</f>
        <v>16800</v>
      </c>
      <c r="BF3" s="673">
        <f t="shared" si="19"/>
        <v>16800</v>
      </c>
      <c r="BG3" s="6"/>
      <c r="BH3" s="671" t="s">
        <v>266</v>
      </c>
      <c r="BI3" s="678" t="s">
        <v>3</v>
      </c>
      <c r="BJ3" s="678" t="s">
        <v>215</v>
      </c>
      <c r="BK3" s="679" t="s">
        <v>220</v>
      </c>
      <c r="BL3" s="680" t="s">
        <v>224</v>
      </c>
      <c r="BM3" s="671" t="s">
        <v>209</v>
      </c>
      <c r="BN3" s="671" t="s">
        <v>272</v>
      </c>
      <c r="BO3" s="687" t="s">
        <v>376</v>
      </c>
      <c r="BP3" s="671" t="s">
        <v>459</v>
      </c>
      <c r="BQ3" s="671" t="s">
        <v>459</v>
      </c>
      <c r="BR3" s="640"/>
      <c r="BS3" s="691" t="s">
        <v>461</v>
      </c>
      <c r="BT3" s="689">
        <v>1</v>
      </c>
      <c r="BU3" s="690">
        <v>0.22008</v>
      </c>
      <c r="BV3" s="693">
        <v>1</v>
      </c>
      <c r="BZ3" s="728"/>
    </row>
    <row r="4" spans="2:78">
      <c r="D4" s="652">
        <v>3</v>
      </c>
      <c r="E4" s="653" t="s">
        <v>14</v>
      </c>
      <c r="F4" s="653" t="s">
        <v>15</v>
      </c>
      <c r="G4" s="361"/>
      <c r="H4" s="369"/>
      <c r="I4" s="369"/>
      <c r="J4" s="369"/>
      <c r="K4" s="369"/>
      <c r="M4" s="366">
        <v>3</v>
      </c>
      <c r="N4" s="4">
        <v>13390</v>
      </c>
      <c r="O4" s="4">
        <v>13780</v>
      </c>
      <c r="P4" s="4">
        <v>14170</v>
      </c>
      <c r="Q4" s="4">
        <v>14600</v>
      </c>
      <c r="S4" s="382">
        <v>3</v>
      </c>
      <c r="T4" s="629">
        <v>43160</v>
      </c>
      <c r="U4" s="636" t="str">
        <f t="shared" si="0"/>
        <v/>
      </c>
      <c r="V4" s="730">
        <f t="shared" si="6"/>
        <v>39160</v>
      </c>
      <c r="W4" s="636" t="str">
        <f t="shared" si="1"/>
        <v/>
      </c>
      <c r="X4" s="639">
        <f t="shared" si="7"/>
        <v>39160</v>
      </c>
      <c r="Y4" s="742">
        <f t="shared" si="8"/>
        <v>39160</v>
      </c>
      <c r="Z4" s="636" t="str">
        <f t="shared" si="2"/>
        <v/>
      </c>
      <c r="AA4" s="729">
        <f t="shared" ref="AA4:AA17" si="20">IF(MONTH(PROM)&amp;YEAR(PROM)=MONTH(T4)&amp;YEAR(T4),LOOKUP(Y4,BASICS,AGI),AA3)</f>
        <v>39160</v>
      </c>
      <c r="AB4" s="729">
        <f t="shared" si="9"/>
        <v>39160</v>
      </c>
      <c r="AC4" s="92">
        <f t="shared" si="10"/>
        <v>39160</v>
      </c>
      <c r="AD4" s="744">
        <f t="shared" si="11"/>
        <v>39160</v>
      </c>
      <c r="AE4" s="742">
        <f t="shared" si="12"/>
        <v>39160</v>
      </c>
      <c r="AF4" s="636" t="str">
        <f t="shared" si="3"/>
        <v/>
      </c>
      <c r="AG4" s="737">
        <f t="shared" si="13"/>
        <v>39160</v>
      </c>
      <c r="AH4" s="737">
        <f t="shared" si="14"/>
        <v>39160</v>
      </c>
      <c r="AI4" s="737">
        <f t="shared" si="15"/>
        <v>39160</v>
      </c>
      <c r="AJ4" s="738">
        <f t="shared" si="16"/>
        <v>39160</v>
      </c>
      <c r="AK4" s="742">
        <f t="shared" si="17"/>
        <v>39160</v>
      </c>
      <c r="AL4" s="629">
        <v>43160</v>
      </c>
      <c r="AM4" s="739">
        <f t="shared" si="5"/>
        <v>39160</v>
      </c>
      <c r="AN4" s="637"/>
      <c r="AO4" s="2"/>
      <c r="AP4" s="2"/>
      <c r="AQ4" s="2"/>
      <c r="AR4" s="2"/>
      <c r="AS4" s="637"/>
      <c r="AT4" s="361"/>
      <c r="AU4" s="17">
        <v>42795</v>
      </c>
      <c r="AV4" s="17">
        <v>43160</v>
      </c>
      <c r="AW4" s="350">
        <f>DATA!O3</f>
        <v>0.22008</v>
      </c>
      <c r="AX4" s="349">
        <f>'ANNEXURE I'!Z5</f>
        <v>0.12</v>
      </c>
      <c r="AZ4" s="684" t="s">
        <v>243</v>
      </c>
      <c r="BA4" s="6"/>
      <c r="BB4" s="672" t="s">
        <v>217</v>
      </c>
      <c r="BC4" s="673">
        <f>'ANNEXURE I'!Q25</f>
        <v>720</v>
      </c>
      <c r="BD4" s="673">
        <f t="shared" si="18"/>
        <v>720</v>
      </c>
      <c r="BE4" s="673">
        <f t="shared" si="19"/>
        <v>720</v>
      </c>
      <c r="BF4" s="673">
        <f t="shared" si="19"/>
        <v>720</v>
      </c>
      <c r="BG4" s="6"/>
      <c r="BH4" s="677" t="str">
        <f>DATA!G3</f>
        <v>GPF</v>
      </c>
      <c r="BI4" s="678">
        <f>ROUND(('ANNEXURE I'!C5+'ANNEXURE I'!F5)*10%,0)</f>
        <v>4778</v>
      </c>
      <c r="BJ4" s="678">
        <f>DATA!J9</f>
        <v>4000</v>
      </c>
      <c r="BK4" s="679" t="s">
        <v>380</v>
      </c>
      <c r="BL4" s="680" t="s">
        <v>225</v>
      </c>
      <c r="BM4" s="682" t="s">
        <v>1</v>
      </c>
      <c r="BN4" s="683">
        <v>0</v>
      </c>
      <c r="BO4" s="647" t="s">
        <v>208</v>
      </c>
      <c r="BP4" s="677">
        <v>43160</v>
      </c>
      <c r="BQ4" s="677">
        <v>42767</v>
      </c>
      <c r="BR4" s="640"/>
      <c r="BS4" s="691" t="s">
        <v>462</v>
      </c>
      <c r="BT4" s="689">
        <v>1.5</v>
      </c>
      <c r="BU4" s="690">
        <v>0.24104</v>
      </c>
      <c r="BV4" s="702">
        <v>2</v>
      </c>
      <c r="BZ4" s="728"/>
    </row>
    <row r="5" spans="2:78" ht="15.75">
      <c r="D5" s="652">
        <v>4</v>
      </c>
      <c r="E5" s="653" t="s">
        <v>16</v>
      </c>
      <c r="F5" s="653" t="s">
        <v>17</v>
      </c>
      <c r="G5" s="361"/>
      <c r="H5" s="259"/>
      <c r="I5" s="259"/>
      <c r="J5" s="259"/>
      <c r="K5" s="362"/>
      <c r="M5" s="366">
        <v>4</v>
      </c>
      <c r="N5" s="4">
        <v>13780</v>
      </c>
      <c r="O5" s="4">
        <v>14170</v>
      </c>
      <c r="P5" s="4">
        <v>14600</v>
      </c>
      <c r="Q5" s="4">
        <v>15030</v>
      </c>
      <c r="S5" s="656">
        <v>4</v>
      </c>
      <c r="T5" s="627">
        <v>43191</v>
      </c>
      <c r="U5" s="636" t="str">
        <f t="shared" si="0"/>
        <v/>
      </c>
      <c r="V5" s="730">
        <f t="shared" si="6"/>
        <v>39160</v>
      </c>
      <c r="W5" s="636" t="str">
        <f t="shared" si="1"/>
        <v/>
      </c>
      <c r="X5" s="639">
        <f t="shared" si="7"/>
        <v>39160</v>
      </c>
      <c r="Y5" s="742">
        <f t="shared" si="8"/>
        <v>39160</v>
      </c>
      <c r="Z5" s="636" t="str">
        <f t="shared" si="2"/>
        <v/>
      </c>
      <c r="AA5" s="729">
        <f t="shared" si="20"/>
        <v>39160</v>
      </c>
      <c r="AB5" s="729">
        <f t="shared" si="9"/>
        <v>39160</v>
      </c>
      <c r="AC5" s="92">
        <f t="shared" si="10"/>
        <v>39160</v>
      </c>
      <c r="AD5" s="744">
        <f t="shared" si="11"/>
        <v>39160</v>
      </c>
      <c r="AE5" s="742">
        <f t="shared" si="12"/>
        <v>39160</v>
      </c>
      <c r="AF5" s="636" t="str">
        <f t="shared" si="3"/>
        <v/>
      </c>
      <c r="AG5" s="737">
        <f t="shared" si="13"/>
        <v>39160</v>
      </c>
      <c r="AH5" s="737">
        <f t="shared" si="14"/>
        <v>39160</v>
      </c>
      <c r="AI5" s="737">
        <f t="shared" si="15"/>
        <v>39160</v>
      </c>
      <c r="AJ5" s="738">
        <f t="shared" si="16"/>
        <v>39160</v>
      </c>
      <c r="AK5" s="742">
        <f t="shared" si="17"/>
        <v>39160</v>
      </c>
      <c r="AL5" s="627">
        <v>43191</v>
      </c>
      <c r="AM5" s="739">
        <f t="shared" si="5"/>
        <v>39160</v>
      </c>
      <c r="AN5" s="637"/>
      <c r="AO5" s="116">
        <f>IF(DATA!G7="NOT APPLICABLE",0,DATEDIF(AO2,AO3,"MD"))</f>
        <v>31</v>
      </c>
      <c r="AP5" s="2"/>
      <c r="AQ5" s="116">
        <f>IF(DATA!G9="NOT APPLICABLE",0,DATEDIF(AQ2,AQ3,"MD"))</f>
        <v>31</v>
      </c>
      <c r="AR5" s="2"/>
      <c r="AS5" s="637"/>
      <c r="AT5" s="361"/>
      <c r="AU5" s="17">
        <v>42826</v>
      </c>
      <c r="AV5" s="17">
        <v>43191</v>
      </c>
      <c r="AW5" s="350">
        <f>DATA!O4</f>
        <v>0.22008</v>
      </c>
      <c r="AX5" s="349">
        <f>'ANNEXURE I'!Z6</f>
        <v>0.12</v>
      </c>
      <c r="AZ5" s="684" t="s">
        <v>288</v>
      </c>
      <c r="BA5" s="6"/>
      <c r="BB5" s="672" t="s">
        <v>418</v>
      </c>
      <c r="BC5" s="673">
        <f>DATA!L28</f>
        <v>0</v>
      </c>
      <c r="BD5" s="673">
        <f t="shared" si="18"/>
        <v>0</v>
      </c>
      <c r="BE5" s="673">
        <f t="shared" si="19"/>
        <v>0</v>
      </c>
      <c r="BF5" s="673">
        <f t="shared" si="19"/>
        <v>0</v>
      </c>
      <c r="BG5" s="6"/>
      <c r="BH5" s="677" t="str">
        <f t="shared" ref="BH5:BH15" si="21">BH4</f>
        <v>GPF</v>
      </c>
      <c r="BI5" s="678">
        <f>ROUND(('ANNEXURE I'!C6+'ANNEXURE I'!F6)*10%,0)</f>
        <v>4778</v>
      </c>
      <c r="BJ5" s="678">
        <f>IF(DATA!K9='ANNEXURE I'!B6,DATA!L9,PRO!BJ4)</f>
        <v>4000</v>
      </c>
      <c r="BK5" s="679">
        <v>43191</v>
      </c>
      <c r="BL5" s="679">
        <v>43191</v>
      </c>
      <c r="BM5" s="682">
        <v>43160</v>
      </c>
      <c r="BN5" s="683">
        <v>0.12</v>
      </c>
      <c r="BO5" s="712">
        <v>0</v>
      </c>
      <c r="BP5" s="677">
        <v>43191</v>
      </c>
      <c r="BQ5" s="677">
        <v>42795</v>
      </c>
      <c r="BR5" s="640"/>
      <c r="BS5" s="691" t="s">
        <v>463</v>
      </c>
      <c r="BT5" s="689">
        <v>2</v>
      </c>
      <c r="BU5" s="690">
        <v>0.25675999999999999</v>
      </c>
      <c r="BV5" s="702">
        <v>3</v>
      </c>
      <c r="BZ5" s="728"/>
    </row>
    <row r="6" spans="2:78" ht="15.75">
      <c r="D6" s="652">
        <v>5</v>
      </c>
      <c r="E6" s="653" t="s">
        <v>18</v>
      </c>
      <c r="F6" s="653" t="s">
        <v>19</v>
      </c>
      <c r="G6" s="361"/>
      <c r="H6" s="369"/>
      <c r="I6" s="369"/>
      <c r="J6" s="369"/>
      <c r="K6" s="362"/>
      <c r="M6" s="366">
        <v>5</v>
      </c>
      <c r="N6" s="4">
        <v>14170</v>
      </c>
      <c r="O6" s="4">
        <v>14600</v>
      </c>
      <c r="P6" s="4">
        <v>15030</v>
      </c>
      <c r="Q6" s="4">
        <v>15460</v>
      </c>
      <c r="S6" s="382">
        <v>5</v>
      </c>
      <c r="T6" s="628">
        <v>43221</v>
      </c>
      <c r="U6" s="636" t="str">
        <f t="shared" si="0"/>
        <v/>
      </c>
      <c r="V6" s="730">
        <f t="shared" si="6"/>
        <v>39160</v>
      </c>
      <c r="W6" s="636" t="str">
        <f>IF(MONTH(T6)&amp;YEAR(T6)=MONTH(AASM)&amp;YEAR(AASM),"AAS","")</f>
        <v/>
      </c>
      <c r="X6" s="639">
        <f t="shared" si="7"/>
        <v>39160</v>
      </c>
      <c r="Y6" s="742">
        <f t="shared" si="8"/>
        <v>39160</v>
      </c>
      <c r="Z6" s="636" t="str">
        <f t="shared" si="2"/>
        <v/>
      </c>
      <c r="AA6" s="729">
        <f t="shared" si="20"/>
        <v>39160</v>
      </c>
      <c r="AB6" s="729">
        <f t="shared" si="9"/>
        <v>39160</v>
      </c>
      <c r="AC6" s="92">
        <f>IF(HOW=2,MAX(Y6,AA6),IF(HOW=3,MAX(AA6,AB6),Y6))</f>
        <v>39160</v>
      </c>
      <c r="AD6" s="744">
        <f t="shared" si="11"/>
        <v>39160</v>
      </c>
      <c r="AE6" s="742">
        <f t="shared" si="12"/>
        <v>39160</v>
      </c>
      <c r="AF6" s="636" t="str">
        <f t="shared" si="3"/>
        <v/>
      </c>
      <c r="AG6" s="737">
        <f t="shared" si="13"/>
        <v>39160</v>
      </c>
      <c r="AH6" s="737">
        <f t="shared" si="14"/>
        <v>39160</v>
      </c>
      <c r="AI6" s="737">
        <f t="shared" si="15"/>
        <v>39160</v>
      </c>
      <c r="AJ6" s="738">
        <f t="shared" si="16"/>
        <v>39160</v>
      </c>
      <c r="AK6" s="742">
        <f t="shared" si="17"/>
        <v>39160</v>
      </c>
      <c r="AL6" s="628">
        <v>43221</v>
      </c>
      <c r="AM6" s="739">
        <f t="shared" si="5"/>
        <v>39160</v>
      </c>
      <c r="AN6" s="637"/>
      <c r="AO6" s="116">
        <f>IF(DATA!G7="NOT APPLICABLE",0,AO5+1)</f>
        <v>32</v>
      </c>
      <c r="AP6" s="2"/>
      <c r="AQ6" s="116">
        <f>IF(DATA!G9="NOT APPLICABLE",0,AQ5+1)</f>
        <v>32</v>
      </c>
      <c r="AR6" s="2"/>
      <c r="AS6" s="637"/>
      <c r="AT6" s="361"/>
      <c r="AU6" s="17">
        <v>42856</v>
      </c>
      <c r="AV6" s="17">
        <v>43221</v>
      </c>
      <c r="AW6" s="350">
        <f>DATA!O5</f>
        <v>0.24104</v>
      </c>
      <c r="AX6" s="349">
        <f>'ANNEXURE I'!Z7</f>
        <v>0.12</v>
      </c>
      <c r="AZ6" s="684" t="s">
        <v>355</v>
      </c>
      <c r="BA6" s="6"/>
      <c r="BB6" s="672" t="s">
        <v>419</v>
      </c>
      <c r="BC6" s="673">
        <f>DATA!L29</f>
        <v>0</v>
      </c>
      <c r="BD6" s="673">
        <f t="shared" si="18"/>
        <v>0</v>
      </c>
      <c r="BE6" s="673">
        <f t="shared" si="19"/>
        <v>0</v>
      </c>
      <c r="BF6" s="673">
        <f t="shared" si="19"/>
        <v>0</v>
      </c>
      <c r="BG6" s="6"/>
      <c r="BH6" s="677" t="str">
        <f t="shared" si="21"/>
        <v>GPF</v>
      </c>
      <c r="BI6" s="678">
        <f>ROUND(('ANNEXURE I'!C7+'ANNEXURE I'!F7)*10%,0)</f>
        <v>4860</v>
      </c>
      <c r="BJ6" s="678">
        <f>IF(DATA!K9='ANNEXURE I'!B7,DATA!L9,PRO!BJ5)</f>
        <v>4000</v>
      </c>
      <c r="BK6" s="679">
        <v>43221</v>
      </c>
      <c r="BL6" s="679">
        <v>43221</v>
      </c>
      <c r="BM6" s="682">
        <v>43191</v>
      </c>
      <c r="BN6" s="683">
        <v>0.14499999999999999</v>
      </c>
      <c r="BO6" s="712">
        <v>15</v>
      </c>
      <c r="BP6" s="677">
        <v>43221</v>
      </c>
      <c r="BQ6" s="677">
        <v>42826</v>
      </c>
      <c r="BR6" s="640"/>
      <c r="BS6" s="691" t="s">
        <v>464</v>
      </c>
      <c r="BT6" s="689">
        <v>2.5</v>
      </c>
      <c r="BU6" s="690">
        <v>0.27248</v>
      </c>
      <c r="BV6" s="702">
        <v>4</v>
      </c>
      <c r="BZ6" s="728"/>
    </row>
    <row r="7" spans="2:78" ht="15.75">
      <c r="D7" s="652">
        <v>6</v>
      </c>
      <c r="E7" s="653" t="s">
        <v>20</v>
      </c>
      <c r="F7" s="653" t="s">
        <v>21</v>
      </c>
      <c r="G7" s="361"/>
      <c r="H7" s="369"/>
      <c r="I7" s="369"/>
      <c r="J7" s="369"/>
      <c r="K7" s="369"/>
      <c r="M7" s="366">
        <v>6</v>
      </c>
      <c r="N7" s="4">
        <v>14600</v>
      </c>
      <c r="O7" s="4">
        <v>15030</v>
      </c>
      <c r="P7" s="4">
        <v>15460</v>
      </c>
      <c r="Q7" s="4">
        <v>15930</v>
      </c>
      <c r="S7" s="656">
        <v>6</v>
      </c>
      <c r="T7" s="629">
        <v>43252</v>
      </c>
      <c r="U7" s="636" t="str">
        <f>IF(MONTH(T7)=MONTH(AGIM),"AGI","")</f>
        <v/>
      </c>
      <c r="V7" s="730">
        <f t="shared" si="6"/>
        <v>39160</v>
      </c>
      <c r="W7" s="636" t="str">
        <f t="shared" si="1"/>
        <v/>
      </c>
      <c r="X7" s="639">
        <f t="shared" si="7"/>
        <v>39160</v>
      </c>
      <c r="Y7" s="742">
        <f t="shared" si="8"/>
        <v>39160</v>
      </c>
      <c r="Z7" s="636" t="str">
        <f t="shared" si="2"/>
        <v/>
      </c>
      <c r="AA7" s="729">
        <f t="shared" si="20"/>
        <v>39160</v>
      </c>
      <c r="AB7" s="729">
        <f t="shared" si="9"/>
        <v>39160</v>
      </c>
      <c r="AC7" s="92">
        <f t="shared" si="10"/>
        <v>39160</v>
      </c>
      <c r="AD7" s="744">
        <f t="shared" si="11"/>
        <v>39160</v>
      </c>
      <c r="AE7" s="742">
        <f t="shared" si="12"/>
        <v>39160</v>
      </c>
      <c r="AF7" s="636" t="str">
        <f t="shared" si="3"/>
        <v/>
      </c>
      <c r="AG7" s="737">
        <f t="shared" si="13"/>
        <v>39160</v>
      </c>
      <c r="AH7" s="737">
        <f t="shared" si="14"/>
        <v>39160</v>
      </c>
      <c r="AI7" s="737">
        <f t="shared" si="15"/>
        <v>39160</v>
      </c>
      <c r="AJ7" s="738">
        <f t="shared" si="16"/>
        <v>39160</v>
      </c>
      <c r="AK7" s="742">
        <f t="shared" si="17"/>
        <v>39160</v>
      </c>
      <c r="AL7" s="629">
        <v>43252</v>
      </c>
      <c r="AM7" s="739">
        <f t="shared" si="5"/>
        <v>39160</v>
      </c>
      <c r="AN7" s="637"/>
      <c r="AO7" s="2">
        <f>IF(DATA!G7="NOT APPLICABLE",0,DATA!G8)</f>
        <v>0</v>
      </c>
      <c r="AP7" s="351" t="s">
        <v>6</v>
      </c>
      <c r="AQ7" s="2">
        <f>IF(DATA!G9="NOT APPLICABLE",0,DATA!G11)</f>
        <v>0</v>
      </c>
      <c r="AR7" s="351" t="s">
        <v>869</v>
      </c>
      <c r="AS7" s="637"/>
      <c r="AT7" s="361"/>
      <c r="AU7" s="17">
        <v>42887</v>
      </c>
      <c r="AV7" s="17">
        <v>43252</v>
      </c>
      <c r="AW7" s="350">
        <f>DATA!O6</f>
        <v>0.24104</v>
      </c>
      <c r="AX7" s="349">
        <f>'ANNEXURE I'!Z8</f>
        <v>0.12</v>
      </c>
      <c r="AZ7" s="684" t="s">
        <v>357</v>
      </c>
      <c r="BA7" s="6"/>
      <c r="BB7" s="672" t="s">
        <v>420</v>
      </c>
      <c r="BC7" s="673">
        <f>DATA!L30</f>
        <v>0</v>
      </c>
      <c r="BD7" s="673">
        <f t="shared" si="18"/>
        <v>0</v>
      </c>
      <c r="BE7" s="673">
        <f t="shared" si="19"/>
        <v>0</v>
      </c>
      <c r="BF7" s="673">
        <f t="shared" si="19"/>
        <v>0</v>
      </c>
      <c r="BG7" s="6"/>
      <c r="BH7" s="677" t="str">
        <f t="shared" si="21"/>
        <v>GPF</v>
      </c>
      <c r="BI7" s="678">
        <f>ROUND(('ANNEXURE I'!C8+'ANNEXURE I'!F8)*10%,0)</f>
        <v>4860</v>
      </c>
      <c r="BJ7" s="678">
        <f>IF(DATA!K9='ANNEXURE I'!B8,DATA!L9,PRO!BJ6)</f>
        <v>4000</v>
      </c>
      <c r="BK7" s="679">
        <v>43252</v>
      </c>
      <c r="BL7" s="679">
        <v>43252</v>
      </c>
      <c r="BM7" s="682">
        <v>43221</v>
      </c>
      <c r="BN7" s="683">
        <v>0.2</v>
      </c>
      <c r="BO7" s="712">
        <v>30</v>
      </c>
      <c r="BP7" s="677">
        <v>43252</v>
      </c>
      <c r="BQ7" s="677">
        <v>42856</v>
      </c>
      <c r="BR7" s="640"/>
      <c r="BS7" s="691" t="s">
        <v>465</v>
      </c>
      <c r="BT7" s="689">
        <v>3</v>
      </c>
      <c r="BU7" s="690">
        <v>0.28820000000000001</v>
      </c>
      <c r="BV7" s="702">
        <v>5</v>
      </c>
      <c r="BZ7" s="728"/>
    </row>
    <row r="8" spans="2:78" ht="15.75">
      <c r="D8" s="652">
        <v>7</v>
      </c>
      <c r="E8" s="653" t="s">
        <v>22</v>
      </c>
      <c r="F8" s="653" t="s">
        <v>23</v>
      </c>
      <c r="G8" s="361"/>
      <c r="H8" s="260">
        <f>INT(H3/100000)</f>
        <v>0</v>
      </c>
      <c r="I8" s="260">
        <f>INT(H3/1000-H8*100)</f>
        <v>9</v>
      </c>
      <c r="J8" s="260">
        <f>INT(H3/100-H8*1000-I8*10)</f>
        <v>9</v>
      </c>
      <c r="K8" s="260">
        <f>INT(H3-H8*100000-I8*1000-J8*100)</f>
        <v>48</v>
      </c>
      <c r="M8" s="366">
        <v>7</v>
      </c>
      <c r="N8" s="4">
        <v>15030</v>
      </c>
      <c r="O8" s="4">
        <v>15460</v>
      </c>
      <c r="P8" s="4">
        <v>15930</v>
      </c>
      <c r="Q8" s="4">
        <v>16400</v>
      </c>
      <c r="S8" s="382">
        <v>7</v>
      </c>
      <c r="T8" s="627">
        <v>43282</v>
      </c>
      <c r="U8" s="636" t="str">
        <f t="shared" si="0"/>
        <v/>
      </c>
      <c r="V8" s="730">
        <f t="shared" si="6"/>
        <v>39160</v>
      </c>
      <c r="W8" s="636" t="str">
        <f t="shared" si="1"/>
        <v/>
      </c>
      <c r="X8" s="639">
        <f t="shared" si="7"/>
        <v>39160</v>
      </c>
      <c r="Y8" s="742">
        <f t="shared" si="8"/>
        <v>39160</v>
      </c>
      <c r="Z8" s="636" t="str">
        <f t="shared" si="2"/>
        <v/>
      </c>
      <c r="AA8" s="729">
        <f>IF(MONTH(PROM)&amp;YEAR(PROM)=MONTH(T8)&amp;YEAR(T8),LOOKUP(Y8,BASICS,AGI),AA7)</f>
        <v>39160</v>
      </c>
      <c r="AB8" s="729">
        <f>IF(U8="AGI",LOOKUP(Y8,AGI,PRO),AB7)</f>
        <v>39160</v>
      </c>
      <c r="AC8" s="92">
        <f>IF(HOW=2,MAX(Y8,AA8),IF(HOW=3,MAX(AA8,AB8),Y8))</f>
        <v>39160</v>
      </c>
      <c r="AD8" s="744">
        <f t="shared" si="11"/>
        <v>39160</v>
      </c>
      <c r="AE8" s="742">
        <f t="shared" si="12"/>
        <v>39160</v>
      </c>
      <c r="AF8" s="636" t="str">
        <f>Z8</f>
        <v/>
      </c>
      <c r="AG8" s="737">
        <f t="shared" si="13"/>
        <v>39160</v>
      </c>
      <c r="AH8" s="737">
        <f t="shared" si="14"/>
        <v>39160</v>
      </c>
      <c r="AI8" s="737">
        <f t="shared" si="15"/>
        <v>39160</v>
      </c>
      <c r="AJ8" s="738">
        <f t="shared" si="16"/>
        <v>39160</v>
      </c>
      <c r="AK8" s="742">
        <f t="shared" si="17"/>
        <v>39160</v>
      </c>
      <c r="AL8" s="627">
        <v>43282</v>
      </c>
      <c r="AM8" s="739">
        <f t="shared" si="5"/>
        <v>39160</v>
      </c>
      <c r="AN8" s="637"/>
      <c r="AO8" s="339">
        <f>IF(DATA!G7="NOT APPLICABLE",0,AO6-AO7+1)</f>
        <v>33</v>
      </c>
      <c r="AP8" s="370" t="s">
        <v>658</v>
      </c>
      <c r="AQ8" s="339">
        <f>IF(DATA!G9="NOT APPLICABLE",0,AQ6-AQ7+1)</f>
        <v>33</v>
      </c>
      <c r="AR8" s="370" t="s">
        <v>658</v>
      </c>
      <c r="AS8" s="637"/>
      <c r="AT8" s="361"/>
      <c r="AU8" s="17">
        <v>42917</v>
      </c>
      <c r="AV8" s="17">
        <v>43282</v>
      </c>
      <c r="AW8" s="350">
        <f>DATA!O7</f>
        <v>0.24104</v>
      </c>
      <c r="AX8" s="349">
        <f>'ANNEXURE I'!Z9</f>
        <v>0.12</v>
      </c>
      <c r="AZ8" s="684" t="s">
        <v>356</v>
      </c>
      <c r="BA8" s="6"/>
      <c r="BB8" s="672" t="s">
        <v>421</v>
      </c>
      <c r="BC8" s="673">
        <f>DATA!L31</f>
        <v>25000</v>
      </c>
      <c r="BD8" s="673">
        <f t="shared" si="18"/>
        <v>25000</v>
      </c>
      <c r="BE8" s="673">
        <f t="shared" si="19"/>
        <v>25000</v>
      </c>
      <c r="BF8" s="673">
        <f t="shared" si="19"/>
        <v>25000</v>
      </c>
      <c r="BG8" s="6"/>
      <c r="BH8" s="677" t="str">
        <f t="shared" si="21"/>
        <v>GPF</v>
      </c>
      <c r="BI8" s="678">
        <f>ROUND(('ANNEXURE I'!C9+'ANNEXURE I'!F9)*10%,0)</f>
        <v>4860</v>
      </c>
      <c r="BJ8" s="678">
        <f>IF(DATA!K9='ANNEXURE I'!B9,DATA!L9,PRO!BJ7)</f>
        <v>4000</v>
      </c>
      <c r="BK8" s="679">
        <v>43282</v>
      </c>
      <c r="BL8" s="679">
        <v>43282</v>
      </c>
      <c r="BM8" s="682">
        <v>43252</v>
      </c>
      <c r="BN8" s="683">
        <v>0.3</v>
      </c>
      <c r="BO8" s="681"/>
      <c r="BP8" s="677">
        <v>43282</v>
      </c>
      <c r="BQ8" s="677">
        <v>42887</v>
      </c>
      <c r="BR8" s="640"/>
      <c r="BS8" s="691" t="s">
        <v>466</v>
      </c>
      <c r="BT8" s="689">
        <v>3.5</v>
      </c>
      <c r="BU8" s="690">
        <v>0.30392000000000002</v>
      </c>
      <c r="BV8" s="702">
        <v>6</v>
      </c>
      <c r="BZ8" s="728"/>
    </row>
    <row r="9" spans="2:78" ht="15.75">
      <c r="D9" s="652">
        <v>8</v>
      </c>
      <c r="E9" s="653" t="s">
        <v>24</v>
      </c>
      <c r="F9" s="653" t="s">
        <v>25</v>
      </c>
      <c r="G9" s="361"/>
      <c r="H9" s="260">
        <f>IF(AND(J8=0,K8=0),1,2)</f>
        <v>2</v>
      </c>
      <c r="I9" s="260">
        <f>IF(K8=0,3,4)</f>
        <v>4</v>
      </c>
      <c r="J9" s="260">
        <f>IF(OR(H9=1,I9=3),5,6)</f>
        <v>6</v>
      </c>
      <c r="K9" s="371"/>
      <c r="M9" s="366">
        <v>8</v>
      </c>
      <c r="N9" s="4">
        <v>15460</v>
      </c>
      <c r="O9" s="4">
        <v>15930</v>
      </c>
      <c r="P9" s="4">
        <v>16400</v>
      </c>
      <c r="Q9" s="4">
        <v>16870</v>
      </c>
      <c r="S9" s="656">
        <v>8</v>
      </c>
      <c r="T9" s="628">
        <v>43313</v>
      </c>
      <c r="U9" s="636" t="str">
        <f t="shared" si="0"/>
        <v>AGI</v>
      </c>
      <c r="V9" s="730">
        <f t="shared" si="6"/>
        <v>40270</v>
      </c>
      <c r="W9" s="636" t="str">
        <f t="shared" si="1"/>
        <v/>
      </c>
      <c r="X9" s="639">
        <f t="shared" si="7"/>
        <v>40270</v>
      </c>
      <c r="Y9" s="742">
        <f t="shared" si="8"/>
        <v>40270</v>
      </c>
      <c r="Z9" s="636" t="str">
        <f t="shared" si="2"/>
        <v/>
      </c>
      <c r="AA9" s="729">
        <f t="shared" si="20"/>
        <v>39160</v>
      </c>
      <c r="AB9" s="729">
        <f t="shared" si="9"/>
        <v>42490</v>
      </c>
      <c r="AC9" s="92">
        <f t="shared" si="10"/>
        <v>40270</v>
      </c>
      <c r="AD9" s="744">
        <f t="shared" si="11"/>
        <v>39160</v>
      </c>
      <c r="AE9" s="742">
        <f t="shared" si="12"/>
        <v>40270</v>
      </c>
      <c r="AF9" s="636" t="str">
        <f t="shared" ref="AF9:AF17" si="22">Z9</f>
        <v/>
      </c>
      <c r="AG9" s="737">
        <f t="shared" si="13"/>
        <v>39160</v>
      </c>
      <c r="AH9" s="737">
        <f t="shared" si="14"/>
        <v>42490</v>
      </c>
      <c r="AI9" s="737">
        <f t="shared" si="15"/>
        <v>40270</v>
      </c>
      <c r="AJ9" s="738">
        <f t="shared" si="16"/>
        <v>39160</v>
      </c>
      <c r="AK9" s="742">
        <f t="shared" si="17"/>
        <v>40270</v>
      </c>
      <c r="AL9" s="628">
        <v>43313</v>
      </c>
      <c r="AM9" s="739">
        <f t="shared" si="5"/>
        <v>40270</v>
      </c>
      <c r="AN9" s="637"/>
      <c r="AO9" s="339">
        <f>IF(DATA!G7="NOT APPLICABLE",0,AO6-AO8)</f>
        <v>-1</v>
      </c>
      <c r="AP9" s="370" t="s">
        <v>659</v>
      </c>
      <c r="AQ9" s="339">
        <f>IF(DATA!G9="NOT APPLICABLE",0,AQ6-AQ8)</f>
        <v>-1</v>
      </c>
      <c r="AR9" s="370" t="s">
        <v>659</v>
      </c>
      <c r="AS9" s="637"/>
      <c r="AT9" s="361"/>
      <c r="AU9" s="17">
        <v>42948</v>
      </c>
      <c r="AV9" s="17">
        <v>43313</v>
      </c>
      <c r="AW9" s="350">
        <f>DATA!O8</f>
        <v>0.24104</v>
      </c>
      <c r="AX9" s="349">
        <f>'ANNEXURE I'!Z10</f>
        <v>0.12</v>
      </c>
      <c r="AZ9" s="684" t="s">
        <v>358</v>
      </c>
      <c r="BA9" s="6"/>
      <c r="BB9" s="672" t="s">
        <v>422</v>
      </c>
      <c r="BC9" s="673">
        <f>DATA!L32</f>
        <v>0</v>
      </c>
      <c r="BD9" s="673">
        <f t="shared" si="18"/>
        <v>0</v>
      </c>
      <c r="BE9" s="673">
        <f t="shared" si="19"/>
        <v>0</v>
      </c>
      <c r="BF9" s="673">
        <f t="shared" si="19"/>
        <v>0</v>
      </c>
      <c r="BG9" s="6"/>
      <c r="BH9" s="677" t="str">
        <f t="shared" si="21"/>
        <v>GPF</v>
      </c>
      <c r="BI9" s="678">
        <f>ROUND(('ANNEXURE I'!C10+'ANNEXURE I'!F10)*10%,0)</f>
        <v>4998</v>
      </c>
      <c r="BJ9" s="678">
        <f>IF(DATA!K9='ANNEXURE I'!B10,DATA!L9,PRO!BJ8)</f>
        <v>4000</v>
      </c>
      <c r="BK9" s="679">
        <v>43313</v>
      </c>
      <c r="BL9" s="679">
        <v>43313</v>
      </c>
      <c r="BM9" s="682">
        <v>43282</v>
      </c>
      <c r="BN9" s="671"/>
      <c r="BO9" s="681"/>
      <c r="BP9" s="677">
        <v>43313</v>
      </c>
      <c r="BQ9" s="677">
        <v>42917</v>
      </c>
      <c r="BR9" s="640"/>
      <c r="BS9" s="691" t="s">
        <v>467</v>
      </c>
      <c r="BT9" s="689">
        <v>4</v>
      </c>
      <c r="BU9" s="690">
        <v>0.31963999999999998</v>
      </c>
      <c r="BV9" s="693">
        <v>7</v>
      </c>
      <c r="BZ9" s="728"/>
    </row>
    <row r="10" spans="2:78">
      <c r="D10" s="652">
        <v>9</v>
      </c>
      <c r="E10" s="653" t="s">
        <v>26</v>
      </c>
      <c r="F10" s="653" t="s">
        <v>27</v>
      </c>
      <c r="G10" s="361"/>
      <c r="H10" s="369"/>
      <c r="I10" s="369"/>
      <c r="J10" s="369"/>
      <c r="K10" s="369"/>
      <c r="M10" s="366">
        <v>9</v>
      </c>
      <c r="N10" s="4">
        <v>15930</v>
      </c>
      <c r="O10" s="4">
        <v>16400</v>
      </c>
      <c r="P10" s="4">
        <v>16870</v>
      </c>
      <c r="Q10" s="4">
        <v>17380</v>
      </c>
      <c r="S10" s="382">
        <v>9</v>
      </c>
      <c r="T10" s="629">
        <v>43344</v>
      </c>
      <c r="U10" s="636" t="str">
        <f t="shared" si="0"/>
        <v/>
      </c>
      <c r="V10" s="730">
        <f t="shared" si="6"/>
        <v>40270</v>
      </c>
      <c r="W10" s="636" t="str">
        <f t="shared" si="1"/>
        <v/>
      </c>
      <c r="X10" s="639">
        <f t="shared" si="7"/>
        <v>40270</v>
      </c>
      <c r="Y10" s="742">
        <f t="shared" si="8"/>
        <v>40270</v>
      </c>
      <c r="Z10" s="636" t="str">
        <f t="shared" si="2"/>
        <v/>
      </c>
      <c r="AA10" s="729">
        <f t="shared" si="20"/>
        <v>39160</v>
      </c>
      <c r="AB10" s="729">
        <f t="shared" si="9"/>
        <v>42490</v>
      </c>
      <c r="AC10" s="92">
        <f t="shared" si="10"/>
        <v>40270</v>
      </c>
      <c r="AD10" s="744">
        <f t="shared" si="11"/>
        <v>39160</v>
      </c>
      <c r="AE10" s="742">
        <f t="shared" si="12"/>
        <v>40270</v>
      </c>
      <c r="AF10" s="636" t="str">
        <f t="shared" si="22"/>
        <v/>
      </c>
      <c r="AG10" s="737">
        <f t="shared" si="13"/>
        <v>39160</v>
      </c>
      <c r="AH10" s="737">
        <f t="shared" si="14"/>
        <v>42490</v>
      </c>
      <c r="AI10" s="737">
        <f t="shared" si="15"/>
        <v>40270</v>
      </c>
      <c r="AJ10" s="738">
        <f t="shared" si="16"/>
        <v>39160</v>
      </c>
      <c r="AK10" s="742">
        <f t="shared" si="17"/>
        <v>40270</v>
      </c>
      <c r="AL10" s="629">
        <v>43344</v>
      </c>
      <c r="AM10" s="739">
        <f t="shared" si="5"/>
        <v>40270</v>
      </c>
      <c r="AN10" s="637"/>
      <c r="AO10" s="2"/>
      <c r="AP10" s="2"/>
      <c r="AQ10" s="2"/>
      <c r="AR10" s="2"/>
      <c r="AS10" s="637"/>
      <c r="AT10" s="361"/>
      <c r="AU10" s="17">
        <v>42979</v>
      </c>
      <c r="AV10" s="17">
        <v>43344</v>
      </c>
      <c r="AW10" s="350">
        <f>DATA!O9</f>
        <v>0.24104</v>
      </c>
      <c r="AX10" s="349">
        <f>'ANNEXURE I'!Z11</f>
        <v>0.12</v>
      </c>
      <c r="AZ10" s="684" t="s">
        <v>359</v>
      </c>
      <c r="BA10" s="6"/>
      <c r="BB10" s="672" t="s">
        <v>423</v>
      </c>
      <c r="BC10" s="673">
        <f>DATA!L33</f>
        <v>0</v>
      </c>
      <c r="BD10" s="673">
        <f t="shared" si="18"/>
        <v>0</v>
      </c>
      <c r="BE10" s="673">
        <f t="shared" si="19"/>
        <v>0</v>
      </c>
      <c r="BF10" s="673">
        <f t="shared" si="19"/>
        <v>0</v>
      </c>
      <c r="BG10" s="6"/>
      <c r="BH10" s="677" t="str">
        <f t="shared" si="21"/>
        <v>GPF</v>
      </c>
      <c r="BI10" s="678">
        <f>ROUND(('ANNEXURE I'!C11+'ANNEXURE I'!F11)*10%,0)</f>
        <v>4998</v>
      </c>
      <c r="BJ10" s="678">
        <f>IF(DATA!K9='ANNEXURE I'!B11,DATA!L9,PRO!BJ9)</f>
        <v>4000</v>
      </c>
      <c r="BK10" s="679">
        <v>43344</v>
      </c>
      <c r="BL10" s="679">
        <v>43344</v>
      </c>
      <c r="BM10" s="682">
        <v>43313</v>
      </c>
      <c r="BN10" s="672" t="s">
        <v>228</v>
      </c>
      <c r="BO10" s="681"/>
      <c r="BP10" s="677">
        <v>43344</v>
      </c>
      <c r="BQ10" s="677">
        <v>42948</v>
      </c>
      <c r="BR10" s="640"/>
      <c r="BS10" s="691" t="s">
        <v>468</v>
      </c>
      <c r="BT10" s="689">
        <v>4.5</v>
      </c>
      <c r="BU10" s="690"/>
      <c r="BV10" s="702">
        <v>8</v>
      </c>
      <c r="BZ10" s="728"/>
    </row>
    <row r="11" spans="2:78" ht="15" customHeight="1">
      <c r="D11" s="652">
        <v>10</v>
      </c>
      <c r="E11" s="653" t="s">
        <v>28</v>
      </c>
      <c r="F11" s="653" t="s">
        <v>29</v>
      </c>
      <c r="G11" s="361"/>
      <c r="H11" s="261" t="str">
        <f>IF(H8=0,"",LOOKUP(H8,D2:D100,E2:E100))</f>
        <v/>
      </c>
      <c r="I11" s="261" t="str">
        <f>IF(I8=0,"",LOOKUP(I8,D2:D100,E2:E100))</f>
        <v>Nine</v>
      </c>
      <c r="J11" s="261" t="str">
        <f>IF(J8=0,"",LOOKUP(J8,D2:D100,E2:E100))</f>
        <v>Nine</v>
      </c>
      <c r="K11" s="261" t="str">
        <f>IF(K8=0,"",LOOKUP(K8,D2:D100,E2:E100))</f>
        <v>Forty Eight</v>
      </c>
      <c r="M11" s="366">
        <v>10</v>
      </c>
      <c r="N11" s="4">
        <v>16400</v>
      </c>
      <c r="O11" s="4">
        <v>16870</v>
      </c>
      <c r="P11" s="4">
        <v>17380</v>
      </c>
      <c r="Q11" s="4">
        <v>17890</v>
      </c>
      <c r="S11" s="656">
        <v>10</v>
      </c>
      <c r="T11" s="627">
        <v>43374</v>
      </c>
      <c r="U11" s="636" t="str">
        <f t="shared" si="0"/>
        <v/>
      </c>
      <c r="V11" s="730">
        <f t="shared" si="6"/>
        <v>40270</v>
      </c>
      <c r="W11" s="636" t="str">
        <f t="shared" si="1"/>
        <v/>
      </c>
      <c r="X11" s="639">
        <f t="shared" si="7"/>
        <v>40270</v>
      </c>
      <c r="Y11" s="742">
        <f t="shared" si="8"/>
        <v>40270</v>
      </c>
      <c r="Z11" s="636" t="str">
        <f t="shared" si="2"/>
        <v/>
      </c>
      <c r="AA11" s="729">
        <f t="shared" si="20"/>
        <v>39160</v>
      </c>
      <c r="AB11" s="729">
        <f>IF(U11="AGI",LOOKUP(Y11,AGI,PRO),AB10)</f>
        <v>42490</v>
      </c>
      <c r="AC11" s="92">
        <f t="shared" si="10"/>
        <v>40270</v>
      </c>
      <c r="AD11" s="744">
        <f t="shared" si="11"/>
        <v>39160</v>
      </c>
      <c r="AE11" s="742">
        <f t="shared" si="12"/>
        <v>40270</v>
      </c>
      <c r="AF11" s="636" t="str">
        <f t="shared" si="22"/>
        <v/>
      </c>
      <c r="AG11" s="737">
        <f t="shared" si="13"/>
        <v>39160</v>
      </c>
      <c r="AH11" s="737">
        <f t="shared" si="14"/>
        <v>42490</v>
      </c>
      <c r="AI11" s="737">
        <f t="shared" si="15"/>
        <v>40270</v>
      </c>
      <c r="AJ11" s="738">
        <f t="shared" si="16"/>
        <v>39160</v>
      </c>
      <c r="AK11" s="742">
        <f t="shared" si="17"/>
        <v>40270</v>
      </c>
      <c r="AL11" s="627">
        <v>43374</v>
      </c>
      <c r="AM11" s="739">
        <f t="shared" si="5"/>
        <v>40270</v>
      </c>
      <c r="AN11" s="637"/>
      <c r="AO11" s="116">
        <f>LOOKUP(AASM,T2:T17,Y2:Y17)</f>
        <v>40270</v>
      </c>
      <c r="AP11" s="715" t="str">
        <f>"* "&amp;AO8&amp;" / "&amp;AO6</f>
        <v>* 33 / 32</v>
      </c>
      <c r="AQ11" s="116">
        <f>IF(PROTYPE="NA",0,LOOKUP(PROM,T2:T17,AM2:AM17))</f>
        <v>0</v>
      </c>
      <c r="AR11" s="715" t="str">
        <f>"* "&amp;AQ8&amp;" / "&amp;AQ6</f>
        <v>* 33 / 32</v>
      </c>
      <c r="AS11" s="637"/>
      <c r="AT11" s="361"/>
      <c r="AU11" s="17">
        <v>43009</v>
      </c>
      <c r="AV11" s="17">
        <v>43374</v>
      </c>
      <c r="AW11" s="350">
        <f>DATA!O10</f>
        <v>0.25675999999999999</v>
      </c>
      <c r="AX11" s="349">
        <f>'ANNEXURE I'!Z12</f>
        <v>0.12</v>
      </c>
      <c r="AZ11" s="684" t="s">
        <v>360</v>
      </c>
      <c r="BA11" s="6"/>
      <c r="BB11" s="672" t="s">
        <v>424</v>
      </c>
      <c r="BC11" s="673">
        <f>DATA!L34</f>
        <v>0</v>
      </c>
      <c r="BD11" s="673">
        <f t="shared" si="18"/>
        <v>0</v>
      </c>
      <c r="BE11" s="673">
        <f t="shared" si="19"/>
        <v>0</v>
      </c>
      <c r="BF11" s="673">
        <f t="shared" si="19"/>
        <v>0</v>
      </c>
      <c r="BG11" s="6"/>
      <c r="BH11" s="677" t="str">
        <f t="shared" si="21"/>
        <v>GPF</v>
      </c>
      <c r="BI11" s="678">
        <f>ROUND(('ANNEXURE I'!C12+'ANNEXURE I'!F12)*10%,0)</f>
        <v>5061</v>
      </c>
      <c r="BJ11" s="678">
        <f>IF(DATA!K9='ANNEXURE I'!B12,DATA!L9,PRO!BJ10)</f>
        <v>4000</v>
      </c>
      <c r="BK11" s="679">
        <v>43374</v>
      </c>
      <c r="BL11" s="679">
        <v>43374</v>
      </c>
      <c r="BM11" s="682">
        <v>43344</v>
      </c>
      <c r="BN11" s="672" t="s">
        <v>9</v>
      </c>
      <c r="BO11" s="681"/>
      <c r="BP11" s="677">
        <v>43374</v>
      </c>
      <c r="BQ11" s="677">
        <v>42979</v>
      </c>
      <c r="BR11" s="640"/>
      <c r="BS11" s="691" t="s">
        <v>469</v>
      </c>
      <c r="BT11" s="689">
        <v>5</v>
      </c>
      <c r="BU11" s="690" t="s">
        <v>220</v>
      </c>
      <c r="BV11" s="702">
        <v>9</v>
      </c>
      <c r="BZ11" s="728"/>
    </row>
    <row r="12" spans="2:78">
      <c r="D12" s="652">
        <v>11</v>
      </c>
      <c r="E12" s="653" t="s">
        <v>30</v>
      </c>
      <c r="F12" s="653" t="s">
        <v>31</v>
      </c>
      <c r="G12" s="361"/>
      <c r="H12" s="261" t="str">
        <f>IF(H8&gt;1," Lakhs ",IF(H8&gt;0," Lakh ",""))</f>
        <v/>
      </c>
      <c r="I12" s="261" t="str">
        <f>IF(I8&gt;0," Thousand ","")</f>
        <v xml:space="preserve"> Thousand </v>
      </c>
      <c r="J12" s="261" t="str">
        <f>IF(J8&gt;0," Hundred ","")</f>
        <v xml:space="preserve"> Hundred </v>
      </c>
      <c r="K12" s="261" t="str">
        <f>IF(H3="","",IF(H3=1,"Rupee",IF(H3&gt;1,"Rupees","")))</f>
        <v>Rupees</v>
      </c>
      <c r="M12" s="366">
        <v>11</v>
      </c>
      <c r="N12" s="4">
        <v>16870</v>
      </c>
      <c r="O12" s="4">
        <v>17380</v>
      </c>
      <c r="P12" s="4">
        <v>17890</v>
      </c>
      <c r="Q12" s="4">
        <v>18400</v>
      </c>
      <c r="S12" s="382">
        <v>11</v>
      </c>
      <c r="T12" s="628">
        <v>43405</v>
      </c>
      <c r="U12" s="636" t="str">
        <f t="shared" si="0"/>
        <v/>
      </c>
      <c r="V12" s="730">
        <f t="shared" si="6"/>
        <v>40270</v>
      </c>
      <c r="W12" s="636" t="str">
        <f t="shared" si="1"/>
        <v/>
      </c>
      <c r="X12" s="639">
        <f t="shared" si="7"/>
        <v>40270</v>
      </c>
      <c r="Y12" s="742">
        <f t="shared" si="8"/>
        <v>40270</v>
      </c>
      <c r="Z12" s="636" t="str">
        <f t="shared" si="2"/>
        <v/>
      </c>
      <c r="AA12" s="729">
        <f>IF(MONTH(PROM)&amp;YEAR(PROM)=MONTH(T12)&amp;YEAR(T12),LOOKUP(Y12,BASICS,AGI),AA11)</f>
        <v>39160</v>
      </c>
      <c r="AB12" s="729">
        <f t="shared" si="9"/>
        <v>42490</v>
      </c>
      <c r="AC12" s="92">
        <f>IF(HOW=2,MAX(Y12,AA12),IF(HOW=3,MAX(AA12,AB12),Y12))</f>
        <v>40270</v>
      </c>
      <c r="AD12" s="744">
        <f t="shared" si="11"/>
        <v>39160</v>
      </c>
      <c r="AE12" s="742">
        <f t="shared" si="12"/>
        <v>40270</v>
      </c>
      <c r="AF12" s="636" t="str">
        <f t="shared" si="22"/>
        <v/>
      </c>
      <c r="AG12" s="737">
        <f t="shared" si="13"/>
        <v>39160</v>
      </c>
      <c r="AH12" s="737">
        <f t="shared" si="14"/>
        <v>42490</v>
      </c>
      <c r="AI12" s="737">
        <f t="shared" si="15"/>
        <v>40270</v>
      </c>
      <c r="AJ12" s="738">
        <f t="shared" si="16"/>
        <v>39160</v>
      </c>
      <c r="AK12" s="742">
        <f t="shared" si="17"/>
        <v>40270</v>
      </c>
      <c r="AL12" s="628">
        <v>43405</v>
      </c>
      <c r="AM12" s="739">
        <f t="shared" si="5"/>
        <v>40270</v>
      </c>
      <c r="AN12" s="637"/>
      <c r="AO12" s="116">
        <f>IF(AO11&gt;0,LOOKUP(AO11,AGI,BASICS),0)</f>
        <v>39160</v>
      </c>
      <c r="AP12" s="715" t="str">
        <f>"* "&amp;AO9&amp;" / "&amp;AO6</f>
        <v>* -1 / 32</v>
      </c>
      <c r="AQ12" s="116">
        <f>IF(PROTYPE="NA",0,LOOKUP(DATA!G10,T2:T17,AM2:AM17))</f>
        <v>0</v>
      </c>
      <c r="AR12" s="715" t="str">
        <f>"* "&amp;AQ9&amp;" / "&amp;AQ6</f>
        <v>* -1 / 32</v>
      </c>
      <c r="AS12" s="637"/>
      <c r="AT12" s="361"/>
      <c r="AU12" s="17">
        <v>43040</v>
      </c>
      <c r="AV12" s="17">
        <v>43405</v>
      </c>
      <c r="AW12" s="350">
        <f>DATA!O11</f>
        <v>0.25675999999999999</v>
      </c>
      <c r="AX12" s="349">
        <f>'ANNEXURE I'!Z13</f>
        <v>0.12</v>
      </c>
      <c r="AZ12" s="684" t="s">
        <v>361</v>
      </c>
      <c r="BA12" s="6"/>
      <c r="BB12" s="675" t="str">
        <f>'ANNEXURE II'!D44</f>
        <v>NATIONAL SAVINGS CERTIFICATE</v>
      </c>
      <c r="BC12" s="673">
        <f>DATA!L35</f>
        <v>0</v>
      </c>
      <c r="BD12" s="673">
        <f t="shared" si="18"/>
        <v>0</v>
      </c>
      <c r="BE12" s="673">
        <f t="shared" si="19"/>
        <v>0</v>
      </c>
      <c r="BF12" s="673">
        <f t="shared" si="19"/>
        <v>0</v>
      </c>
      <c r="BG12" s="6"/>
      <c r="BH12" s="677" t="str">
        <f t="shared" si="21"/>
        <v>GPF</v>
      </c>
      <c r="BI12" s="678">
        <f>ROUND(('ANNEXURE I'!C13+'ANNEXURE I'!F13)*10%,0)</f>
        <v>5061</v>
      </c>
      <c r="BJ12" s="678">
        <f>IF(DATA!K9='ANNEXURE I'!B13,DATA!L9,PRO!BJ11)</f>
        <v>4000</v>
      </c>
      <c r="BK12" s="679">
        <v>43405</v>
      </c>
      <c r="BL12" s="679">
        <v>43405</v>
      </c>
      <c r="BM12" s="682">
        <v>43374</v>
      </c>
      <c r="BN12" s="672" t="s">
        <v>227</v>
      </c>
      <c r="BO12" s="681"/>
      <c r="BP12" s="677">
        <v>43405</v>
      </c>
      <c r="BQ12" s="677">
        <v>43009</v>
      </c>
      <c r="BR12" s="640"/>
      <c r="BS12" s="691" t="s">
        <v>470</v>
      </c>
      <c r="BT12" s="689">
        <v>5.5</v>
      </c>
      <c r="BU12" s="694">
        <v>100</v>
      </c>
      <c r="BV12" s="702">
        <v>10</v>
      </c>
      <c r="BZ12" s="728"/>
    </row>
    <row r="13" spans="2:78">
      <c r="D13" s="652">
        <v>12</v>
      </c>
      <c r="E13" s="653" t="s">
        <v>32</v>
      </c>
      <c r="F13" s="653" t="s">
        <v>33</v>
      </c>
      <c r="G13" s="361"/>
      <c r="H13" s="369"/>
      <c r="I13" s="369"/>
      <c r="J13" s="369"/>
      <c r="K13" s="369"/>
      <c r="M13" s="366">
        <v>12</v>
      </c>
      <c r="N13" s="4">
        <v>17380</v>
      </c>
      <c r="O13" s="4">
        <v>17890</v>
      </c>
      <c r="P13" s="4">
        <v>18400</v>
      </c>
      <c r="Q13" s="4">
        <v>18950</v>
      </c>
      <c r="S13" s="656">
        <v>12</v>
      </c>
      <c r="T13" s="629">
        <v>43435</v>
      </c>
      <c r="U13" s="636" t="str">
        <f t="shared" si="0"/>
        <v/>
      </c>
      <c r="V13" s="730">
        <f t="shared" si="6"/>
        <v>40270</v>
      </c>
      <c r="W13" s="636" t="str">
        <f t="shared" si="1"/>
        <v/>
      </c>
      <c r="X13" s="639">
        <f t="shared" si="7"/>
        <v>40270</v>
      </c>
      <c r="Y13" s="742">
        <f t="shared" si="8"/>
        <v>40270</v>
      </c>
      <c r="Z13" s="636" t="str">
        <f t="shared" si="2"/>
        <v/>
      </c>
      <c r="AA13" s="729">
        <f t="shared" si="20"/>
        <v>39160</v>
      </c>
      <c r="AB13" s="729">
        <f t="shared" si="9"/>
        <v>42490</v>
      </c>
      <c r="AC13" s="92">
        <f t="shared" si="10"/>
        <v>40270</v>
      </c>
      <c r="AD13" s="744">
        <f t="shared" si="11"/>
        <v>39160</v>
      </c>
      <c r="AE13" s="742">
        <f t="shared" si="12"/>
        <v>40270</v>
      </c>
      <c r="AF13" s="636" t="str">
        <f t="shared" si="22"/>
        <v/>
      </c>
      <c r="AG13" s="737">
        <f t="shared" si="13"/>
        <v>39160</v>
      </c>
      <c r="AH13" s="737">
        <f t="shared" si="14"/>
        <v>42490</v>
      </c>
      <c r="AI13" s="737">
        <f t="shared" si="15"/>
        <v>40270</v>
      </c>
      <c r="AJ13" s="738">
        <f t="shared" si="16"/>
        <v>39160</v>
      </c>
      <c r="AK13" s="742">
        <f t="shared" si="17"/>
        <v>40270</v>
      </c>
      <c r="AL13" s="629">
        <v>43435</v>
      </c>
      <c r="AM13" s="739">
        <f t="shared" si="5"/>
        <v>40270</v>
      </c>
      <c r="AN13" s="637"/>
      <c r="AO13" s="117">
        <f>IF(DATA!G7="",0,IF(DATA!G7="NOT APPLICABLE",0,ROUND((AO11-AO12)/AO6*AO8,0)))</f>
        <v>0</v>
      </c>
      <c r="AP13" s="716" t="s">
        <v>881</v>
      </c>
      <c r="AQ13" s="117">
        <f>IF(PROTYPE="NA",0,IF(DATA!G10="",0,IF(DATA!G10="NOT APPLICABLE",0,ROUND((AQ11-AQ12)/AQ6*AQ8,0))))</f>
        <v>0</v>
      </c>
      <c r="AR13" s="716" t="s">
        <v>895</v>
      </c>
      <c r="AS13" s="637"/>
      <c r="AT13" s="361"/>
      <c r="AU13" s="17">
        <v>43070</v>
      </c>
      <c r="AV13" s="17">
        <v>43435</v>
      </c>
      <c r="AW13" s="350">
        <f>DATA!O12</f>
        <v>0.25675999999999999</v>
      </c>
      <c r="AX13" s="349">
        <f>'ANNEXURE I'!Z14</f>
        <v>0.12</v>
      </c>
      <c r="AZ13" s="684" t="s">
        <v>858</v>
      </c>
      <c r="BA13" s="6"/>
      <c r="BB13" s="675" t="str">
        <f>'ANNEXURE II'!D45</f>
        <v>5 Yrs Fixed Deposits ( Bank / Postal )</v>
      </c>
      <c r="BC13" s="673">
        <f>DATA!L36</f>
        <v>0</v>
      </c>
      <c r="BD13" s="673">
        <f t="shared" si="18"/>
        <v>0</v>
      </c>
      <c r="BE13" s="673">
        <f t="shared" si="19"/>
        <v>0</v>
      </c>
      <c r="BF13" s="673">
        <f t="shared" si="19"/>
        <v>0</v>
      </c>
      <c r="BG13" s="6"/>
      <c r="BH13" s="677" t="str">
        <f t="shared" si="21"/>
        <v>GPF</v>
      </c>
      <c r="BI13" s="678">
        <f>ROUND(('ANNEXURE I'!C14+'ANNEXURE I'!F14)*10%,0)</f>
        <v>5061</v>
      </c>
      <c r="BJ13" s="678">
        <f>IF(DATA!K9='ANNEXURE I'!B14,DATA!L9,PRO!BJ12)</f>
        <v>4000</v>
      </c>
      <c r="BK13" s="679">
        <v>43435</v>
      </c>
      <c r="BL13" s="679">
        <v>43435</v>
      </c>
      <c r="BM13" s="682">
        <v>43405</v>
      </c>
      <c r="BN13" s="672" t="s">
        <v>226</v>
      </c>
      <c r="BO13" s="681"/>
      <c r="BP13" s="677">
        <v>43435</v>
      </c>
      <c r="BQ13" s="677">
        <v>43040</v>
      </c>
      <c r="BR13" s="640"/>
      <c r="BS13" s="691" t="s">
        <v>471</v>
      </c>
      <c r="BT13" s="689">
        <v>6</v>
      </c>
      <c r="BU13" s="694">
        <v>200</v>
      </c>
      <c r="BV13" s="702">
        <v>11</v>
      </c>
      <c r="BZ13" s="728"/>
    </row>
    <row r="14" spans="2:78">
      <c r="D14" s="652">
        <v>13</v>
      </c>
      <c r="E14" s="653" t="s">
        <v>34</v>
      </c>
      <c r="F14" s="653" t="s">
        <v>35</v>
      </c>
      <c r="G14" s="361"/>
      <c r="H14" s="809" t="str">
        <f>IF(H3=0,"Zero",IF(H3&gt;0,TRIM(CONCATENATE(H11,H12,I11,I12,J11,J12,IF(AND(H3&gt;100,J9=6)," and ",""),K11,"  ",K12)),""))</f>
        <v>Nine Thousand Nine Hundred and Forty Eight Rupees</v>
      </c>
      <c r="I14" s="810"/>
      <c r="J14" s="810"/>
      <c r="K14" s="811"/>
      <c r="M14" s="366">
        <v>13</v>
      </c>
      <c r="N14" s="4">
        <v>17890</v>
      </c>
      <c r="O14" s="4">
        <v>18400</v>
      </c>
      <c r="P14" s="4">
        <v>18950</v>
      </c>
      <c r="Q14" s="4">
        <v>19500</v>
      </c>
      <c r="S14" s="382">
        <v>13</v>
      </c>
      <c r="T14" s="627">
        <v>43466</v>
      </c>
      <c r="U14" s="636" t="str">
        <f t="shared" si="0"/>
        <v/>
      </c>
      <c r="V14" s="730">
        <f t="shared" si="6"/>
        <v>40270</v>
      </c>
      <c r="W14" s="636" t="str">
        <f t="shared" si="1"/>
        <v/>
      </c>
      <c r="X14" s="639">
        <f t="shared" si="7"/>
        <v>40270</v>
      </c>
      <c r="Y14" s="742">
        <f t="shared" si="8"/>
        <v>40270</v>
      </c>
      <c r="Z14" s="636" t="str">
        <f t="shared" si="2"/>
        <v/>
      </c>
      <c r="AA14" s="729">
        <f t="shared" si="20"/>
        <v>39160</v>
      </c>
      <c r="AB14" s="729">
        <f t="shared" si="9"/>
        <v>42490</v>
      </c>
      <c r="AC14" s="92">
        <f t="shared" si="10"/>
        <v>40270</v>
      </c>
      <c r="AD14" s="744">
        <f t="shared" si="11"/>
        <v>39160</v>
      </c>
      <c r="AE14" s="742">
        <f t="shared" si="12"/>
        <v>40270</v>
      </c>
      <c r="AF14" s="636" t="str">
        <f t="shared" si="22"/>
        <v/>
      </c>
      <c r="AG14" s="737">
        <f t="shared" si="13"/>
        <v>39160</v>
      </c>
      <c r="AH14" s="737">
        <f t="shared" si="14"/>
        <v>42490</v>
      </c>
      <c r="AI14" s="737">
        <f t="shared" si="15"/>
        <v>40270</v>
      </c>
      <c r="AJ14" s="738">
        <f t="shared" si="16"/>
        <v>39160</v>
      </c>
      <c r="AK14" s="742">
        <f t="shared" si="17"/>
        <v>40270</v>
      </c>
      <c r="AL14" s="627">
        <v>43466</v>
      </c>
      <c r="AM14" s="739">
        <f t="shared" si="5"/>
        <v>40270</v>
      </c>
      <c r="AN14" s="637"/>
      <c r="AO14" s="117">
        <f>IF(DATA!G7="",0,IF(DATA!G7="NOT APPLICABLE",0,ROUND(AO13*AP14,0)))</f>
        <v>0</v>
      </c>
      <c r="AP14" s="597">
        <f>IF(DATA!G7="",0,IF(DATA!G7="NOT APPLICABLE",0,LOOKUP(DATA!G7,T3:T15,AW3:AW15)))</f>
        <v>0</v>
      </c>
      <c r="AQ14" s="117">
        <f>IF(DATA!G10="",0,IF(DATA!IG63="NOT APPLICABLE",0,ROUND(AQ13*AR14,0)))</f>
        <v>0</v>
      </c>
      <c r="AR14" s="597">
        <f>IF(DATA!G10="",0,IF(DATA!G10="NOT APPLICABLE",0,LOOKUP(DATA!G10,T3:T15,AW3:AW15)))</f>
        <v>0</v>
      </c>
      <c r="AS14" s="637"/>
      <c r="AT14" s="361"/>
      <c r="AU14" s="17">
        <v>43101</v>
      </c>
      <c r="AV14" s="17">
        <v>43466</v>
      </c>
      <c r="AW14" s="350">
        <f>DATA!O13</f>
        <v>0.25675999999999999</v>
      </c>
      <c r="AX14" s="349">
        <f>'ANNEXURE I'!Z15</f>
        <v>0.12</v>
      </c>
      <c r="AZ14" s="684" t="s">
        <v>859</v>
      </c>
      <c r="BA14" s="6"/>
      <c r="BB14" s="675" t="str">
        <f>'ANNEXURE II'!D46</f>
        <v>OTHER MUTUAL FUNDS……………….</v>
      </c>
      <c r="BC14" s="673">
        <f>DATA!L37</f>
        <v>0</v>
      </c>
      <c r="BD14" s="673">
        <f t="shared" si="18"/>
        <v>0</v>
      </c>
      <c r="BE14" s="673">
        <f t="shared" si="19"/>
        <v>0</v>
      </c>
      <c r="BF14" s="673">
        <f t="shared" si="19"/>
        <v>0</v>
      </c>
      <c r="BG14" s="6"/>
      <c r="BH14" s="677" t="str">
        <f t="shared" si="21"/>
        <v>GPF</v>
      </c>
      <c r="BI14" s="678">
        <f>ROUND(('ANNEXURE I'!C15+'ANNEXURE I'!F15)*10%,0)</f>
        <v>5061</v>
      </c>
      <c r="BJ14" s="678">
        <f>IF(DATA!K9='ANNEXURE I'!B15,DATA!L9,PRO!BJ13)</f>
        <v>4000</v>
      </c>
      <c r="BK14" s="679">
        <v>43466</v>
      </c>
      <c r="BL14" s="679">
        <v>43466</v>
      </c>
      <c r="BM14" s="682">
        <v>43435</v>
      </c>
      <c r="BN14" s="672" t="s">
        <v>229</v>
      </c>
      <c r="BO14" s="681"/>
      <c r="BP14" s="677">
        <v>43466</v>
      </c>
      <c r="BQ14" s="677">
        <v>43070</v>
      </c>
      <c r="BR14" s="640"/>
      <c r="BS14" s="691" t="s">
        <v>472</v>
      </c>
      <c r="BT14" s="689">
        <v>6.5</v>
      </c>
      <c r="BU14" s="695">
        <v>300</v>
      </c>
      <c r="BV14" s="702">
        <v>12</v>
      </c>
      <c r="BZ14" s="728"/>
    </row>
    <row r="15" spans="2:78">
      <c r="D15" s="652">
        <v>14</v>
      </c>
      <c r="E15" s="653" t="s">
        <v>36</v>
      </c>
      <c r="F15" s="653" t="s">
        <v>37</v>
      </c>
      <c r="G15" s="361"/>
      <c r="H15" s="812"/>
      <c r="I15" s="813"/>
      <c r="J15" s="813"/>
      <c r="K15" s="814"/>
      <c r="M15" s="366">
        <v>14</v>
      </c>
      <c r="N15" s="4">
        <v>18400</v>
      </c>
      <c r="O15" s="4">
        <v>18950</v>
      </c>
      <c r="P15" s="4">
        <v>19500</v>
      </c>
      <c r="Q15" s="4">
        <v>20050</v>
      </c>
      <c r="S15" s="656">
        <v>14</v>
      </c>
      <c r="T15" s="628">
        <v>43497</v>
      </c>
      <c r="U15" s="636" t="str">
        <f t="shared" si="0"/>
        <v/>
      </c>
      <c r="V15" s="730">
        <f t="shared" si="6"/>
        <v>40270</v>
      </c>
      <c r="W15" s="636" t="str">
        <f t="shared" si="1"/>
        <v/>
      </c>
      <c r="X15" s="639">
        <f t="shared" si="7"/>
        <v>40270</v>
      </c>
      <c r="Y15" s="742">
        <f>MAX(V15,X15)</f>
        <v>40270</v>
      </c>
      <c r="Z15" s="636" t="str">
        <f t="shared" si="2"/>
        <v/>
      </c>
      <c r="AA15" s="729">
        <f t="shared" si="20"/>
        <v>39160</v>
      </c>
      <c r="AB15" s="729">
        <f t="shared" si="9"/>
        <v>42490</v>
      </c>
      <c r="AC15" s="92">
        <f>IF(HOW=2,MAX(Y15,AA15),IF(HOW=3,MAX(AA15,AB15),Y15))</f>
        <v>40270</v>
      </c>
      <c r="AD15" s="744">
        <f t="shared" si="11"/>
        <v>39160</v>
      </c>
      <c r="AE15" s="742">
        <f t="shared" si="12"/>
        <v>40270</v>
      </c>
      <c r="AF15" s="636" t="str">
        <f t="shared" si="22"/>
        <v/>
      </c>
      <c r="AG15" s="737">
        <f t="shared" si="13"/>
        <v>39160</v>
      </c>
      <c r="AH15" s="737">
        <f t="shared" si="14"/>
        <v>42490</v>
      </c>
      <c r="AI15" s="737">
        <f t="shared" si="15"/>
        <v>40270</v>
      </c>
      <c r="AJ15" s="738">
        <f t="shared" si="16"/>
        <v>39160</v>
      </c>
      <c r="AK15" s="742">
        <f t="shared" si="17"/>
        <v>40270</v>
      </c>
      <c r="AL15" s="628">
        <v>43497</v>
      </c>
      <c r="AM15" s="739">
        <f t="shared" si="5"/>
        <v>40270</v>
      </c>
      <c r="AN15" s="637"/>
      <c r="AO15" s="117">
        <f>IF(DATA!G7="",0,IF(DATA!G7="NOT APPLICABLE",0,ROUND(AO13*AP15,0)))</f>
        <v>0</v>
      </c>
      <c r="AP15" s="597">
        <f>IF(DATA!G7="",0,IF(DATA!G7="NOT APPLICABLE",0,LOOKUP(DATA!G7,T3:T15,AX3:AX15)))</f>
        <v>0</v>
      </c>
      <c r="AQ15" s="117">
        <f>IF(DATA!G10="",0,IF(DATA!G10="NOT APPLICABLE",0,ROUND(AQ13*AR15,0)))</f>
        <v>0</v>
      </c>
      <c r="AR15" s="597">
        <f>IF(DATA!G10="",0,IF(DATA!G10="NOT APPLICABLE",0,LOOKUP(DATA!G10,T3:T15,AX3:AX15)))</f>
        <v>0</v>
      </c>
      <c r="AS15" s="637"/>
      <c r="AT15" s="361"/>
      <c r="AU15" s="17">
        <v>43132</v>
      </c>
      <c r="AV15" s="17">
        <v>43497</v>
      </c>
      <c r="AW15" s="350">
        <f>DATA!O14</f>
        <v>0.25675999999999999</v>
      </c>
      <c r="AX15" s="349">
        <f>'ANNEXURE I'!Z16</f>
        <v>0.12</v>
      </c>
      <c r="AZ15" s="684" t="s">
        <v>362</v>
      </c>
      <c r="BA15" s="6"/>
      <c r="BB15" s="672" t="s">
        <v>247</v>
      </c>
      <c r="BC15" s="673">
        <f>SUM(BC2:BC14)</f>
        <v>175595</v>
      </c>
      <c r="BD15" s="673">
        <f>SUM(BD2:BD14)</f>
        <v>150000</v>
      </c>
      <c r="BE15" s="673">
        <f>SUM(BE2:BE14)</f>
        <v>175595</v>
      </c>
      <c r="BF15" s="673">
        <f>MIN(150000, BE15)</f>
        <v>150000</v>
      </c>
      <c r="BG15" s="6"/>
      <c r="BH15" s="677" t="str">
        <f t="shared" si="21"/>
        <v>GPF</v>
      </c>
      <c r="BI15" s="678">
        <f>ROUND(('ANNEXURE I'!C16+'ANNEXURE I'!F16)*10%,0)</f>
        <v>5061</v>
      </c>
      <c r="BJ15" s="678">
        <f>IF(DATA!K9='ANNEXURE I'!B16,DATA!L9,PRO!BJ14)</f>
        <v>4000</v>
      </c>
      <c r="BK15" s="679">
        <v>43497</v>
      </c>
      <c r="BL15" s="679">
        <v>43497</v>
      </c>
      <c r="BM15" s="682">
        <v>43466</v>
      </c>
      <c r="BN15" s="684"/>
      <c r="BO15" s="681"/>
      <c r="BP15" s="677">
        <v>43497</v>
      </c>
      <c r="BR15" s="640"/>
      <c r="BS15" s="691" t="s">
        <v>473</v>
      </c>
      <c r="BT15" s="689">
        <v>7</v>
      </c>
      <c r="BU15" s="695">
        <v>500</v>
      </c>
      <c r="BV15" s="693">
        <v>13</v>
      </c>
      <c r="BZ15" s="728"/>
    </row>
    <row r="16" spans="2:78">
      <c r="D16" s="652">
        <v>15</v>
      </c>
      <c r="E16" s="653" t="s">
        <v>38</v>
      </c>
      <c r="F16" s="653" t="s">
        <v>39</v>
      </c>
      <c r="G16" s="361"/>
      <c r="H16" s="262"/>
      <c r="I16" s="262"/>
      <c r="J16" s="262"/>
      <c r="K16" s="262"/>
      <c r="M16" s="366">
        <v>15</v>
      </c>
      <c r="N16" s="4">
        <v>18950</v>
      </c>
      <c r="O16" s="4">
        <v>19500</v>
      </c>
      <c r="P16" s="4">
        <v>20050</v>
      </c>
      <c r="Q16" s="354">
        <v>20640</v>
      </c>
      <c r="S16" s="382">
        <v>15</v>
      </c>
      <c r="T16" s="629">
        <v>43525</v>
      </c>
      <c r="U16" s="636" t="str">
        <f t="shared" si="0"/>
        <v/>
      </c>
      <c r="V16" s="730">
        <f t="shared" si="6"/>
        <v>40270</v>
      </c>
      <c r="W16" s="636" t="str">
        <f t="shared" si="1"/>
        <v/>
      </c>
      <c r="X16" s="639">
        <f t="shared" si="7"/>
        <v>40270</v>
      </c>
      <c r="Y16" s="703">
        <f t="shared" si="8"/>
        <v>40270</v>
      </c>
      <c r="Z16" s="636" t="str">
        <f t="shared" si="2"/>
        <v/>
      </c>
      <c r="AA16" s="729">
        <f t="shared" si="20"/>
        <v>39160</v>
      </c>
      <c r="AB16" s="729">
        <f t="shared" si="9"/>
        <v>42490</v>
      </c>
      <c r="AC16" s="92">
        <f t="shared" si="10"/>
        <v>40270</v>
      </c>
      <c r="AD16" s="744">
        <f t="shared" si="11"/>
        <v>39160</v>
      </c>
      <c r="AE16" s="703">
        <f t="shared" si="12"/>
        <v>40270</v>
      </c>
      <c r="AF16" s="636" t="str">
        <f t="shared" si="22"/>
        <v/>
      </c>
      <c r="AG16" s="737">
        <f t="shared" si="13"/>
        <v>39160</v>
      </c>
      <c r="AH16" s="737">
        <f t="shared" si="14"/>
        <v>42490</v>
      </c>
      <c r="AI16" s="737">
        <f t="shared" si="15"/>
        <v>40270</v>
      </c>
      <c r="AJ16" s="738">
        <f t="shared" si="16"/>
        <v>39160</v>
      </c>
      <c r="AK16" s="703">
        <f t="shared" si="17"/>
        <v>40270</v>
      </c>
      <c r="AL16" s="629">
        <v>43525</v>
      </c>
      <c r="AM16" s="736">
        <f t="shared" si="5"/>
        <v>40270</v>
      </c>
      <c r="AN16" s="637"/>
      <c r="AO16" s="637"/>
      <c r="AP16" s="637"/>
      <c r="AQ16" s="637"/>
      <c r="AR16" s="637"/>
      <c r="AS16" s="637"/>
      <c r="AT16" s="361"/>
      <c r="AU16" s="361"/>
      <c r="AZ16" s="684" t="s">
        <v>362</v>
      </c>
      <c r="BA16" s="6"/>
      <c r="BB16" s="672" t="s">
        <v>425</v>
      </c>
      <c r="BC16" s="674">
        <v>0</v>
      </c>
      <c r="BD16" s="673">
        <f>BD23</f>
        <v>25595</v>
      </c>
      <c r="BE16" s="673">
        <f>IF(BE1="SPLIT", BD16, BC16)</f>
        <v>0</v>
      </c>
      <c r="BF16" s="673">
        <f>MIN(50000,BE16)</f>
        <v>0</v>
      </c>
      <c r="BG16" s="6"/>
      <c r="BH16" s="671"/>
      <c r="BI16" s="671"/>
      <c r="BJ16" s="685"/>
      <c r="BK16" s="685"/>
      <c r="BL16" s="685"/>
      <c r="BM16" s="682">
        <v>43497</v>
      </c>
      <c r="BN16" s="684"/>
      <c r="BO16" s="686"/>
      <c r="BR16" s="640"/>
      <c r="BS16" s="691" t="s">
        <v>474</v>
      </c>
      <c r="BT16" s="689">
        <v>7.5</v>
      </c>
      <c r="BU16" s="695">
        <v>1000</v>
      </c>
      <c r="BV16" s="702">
        <v>14</v>
      </c>
      <c r="BZ16" s="728"/>
    </row>
    <row r="17" spans="2:74" ht="15" customHeight="1">
      <c r="D17" s="652">
        <v>16</v>
      </c>
      <c r="E17" s="653" t="s">
        <v>40</v>
      </c>
      <c r="F17" s="653" t="s">
        <v>41</v>
      </c>
      <c r="G17" s="361"/>
      <c r="H17" s="263" t="str">
        <f>IF(H8=0,"",LOOKUP(H8,D2:D100,F2:F100))</f>
        <v/>
      </c>
      <c r="I17" s="263" t="str">
        <f>IF(I8=0,"",LOOKUP(I8,D2:D100,F2:F100))</f>
        <v>తొమ్మిది</v>
      </c>
      <c r="J17" s="263" t="str">
        <f>IF(J8=0,"",LOOKUP(J8,D2:D100,F2:F100))</f>
        <v>తొమ్మిది</v>
      </c>
      <c r="K17" s="372" t="str">
        <f>IF(K8=0,"",LOOKUP(K8,D2:D100,F2:F100))</f>
        <v>నలభై ఎనిమిది</v>
      </c>
      <c r="M17" s="366">
        <v>16</v>
      </c>
      <c r="N17" s="4">
        <v>19500</v>
      </c>
      <c r="O17" s="4">
        <v>20050</v>
      </c>
      <c r="P17" s="354">
        <v>20640</v>
      </c>
      <c r="Q17" s="354">
        <v>21230</v>
      </c>
      <c r="S17" s="656">
        <v>16</v>
      </c>
      <c r="T17" s="627">
        <v>43556</v>
      </c>
      <c r="U17" s="636" t="str">
        <f t="shared" si="0"/>
        <v/>
      </c>
      <c r="V17" s="730">
        <f t="shared" si="6"/>
        <v>40270</v>
      </c>
      <c r="W17" s="636" t="str">
        <f t="shared" si="1"/>
        <v/>
      </c>
      <c r="X17" s="639">
        <f t="shared" si="7"/>
        <v>40270</v>
      </c>
      <c r="Y17" s="703">
        <f t="shared" si="8"/>
        <v>40270</v>
      </c>
      <c r="Z17" s="636" t="str">
        <f t="shared" si="2"/>
        <v/>
      </c>
      <c r="AA17" s="729">
        <f t="shared" si="20"/>
        <v>39160</v>
      </c>
      <c r="AB17" s="729">
        <f t="shared" si="9"/>
        <v>42490</v>
      </c>
      <c r="AC17" s="92">
        <f t="shared" si="10"/>
        <v>40270</v>
      </c>
      <c r="AD17" s="744">
        <f t="shared" si="11"/>
        <v>39160</v>
      </c>
      <c r="AE17" s="703">
        <f t="shared" si="12"/>
        <v>40270</v>
      </c>
      <c r="AF17" s="636" t="str">
        <f t="shared" si="22"/>
        <v/>
      </c>
      <c r="AG17" s="737">
        <f t="shared" si="13"/>
        <v>39160</v>
      </c>
      <c r="AH17" s="737">
        <f t="shared" si="14"/>
        <v>42490</v>
      </c>
      <c r="AI17" s="737">
        <f t="shared" si="15"/>
        <v>40270</v>
      </c>
      <c r="AJ17" s="738">
        <f t="shared" si="16"/>
        <v>39160</v>
      </c>
      <c r="AK17" s="703">
        <f t="shared" si="17"/>
        <v>40270</v>
      </c>
      <c r="AL17" s="627">
        <v>43556</v>
      </c>
      <c r="AM17" s="736">
        <f t="shared" si="5"/>
        <v>40270</v>
      </c>
      <c r="AN17" s="637"/>
      <c r="AO17" s="660" t="s">
        <v>676</v>
      </c>
      <c r="AP17" s="660"/>
      <c r="AQ17" s="661" t="s">
        <v>872</v>
      </c>
      <c r="AR17" s="662">
        <f>IF(DATA!G6="",T18,IF(DATA!G6="Not Applicable",T18,DATA!G6))</f>
        <v>43313</v>
      </c>
      <c r="AS17" s="637"/>
      <c r="AT17" s="361"/>
      <c r="AU17" s="361"/>
      <c r="AZ17" s="684" t="s">
        <v>362</v>
      </c>
      <c r="BA17" s="6"/>
      <c r="BB17" s="672" t="s">
        <v>426</v>
      </c>
      <c r="BC17" s="673">
        <f>BC15+BC16</f>
        <v>175595</v>
      </c>
      <c r="BD17" s="673">
        <f>BD15+BD16</f>
        <v>175595</v>
      </c>
      <c r="BE17" s="673">
        <f>BE15+BE16</f>
        <v>175595</v>
      </c>
      <c r="BF17" s="673">
        <f>BF15+BF16</f>
        <v>150000</v>
      </c>
      <c r="BG17" s="6"/>
      <c r="BH17" s="129"/>
      <c r="BI17" s="129"/>
      <c r="BJ17" s="10"/>
      <c r="BK17" s="10"/>
      <c r="BL17" s="10"/>
      <c r="BM17" s="10"/>
      <c r="BN17" s="10"/>
      <c r="BO17" s="10"/>
      <c r="BR17" s="640"/>
      <c r="BS17" s="691" t="s">
        <v>475</v>
      </c>
      <c r="BT17" s="689">
        <v>8</v>
      </c>
      <c r="BU17" s="695">
        <v>1500</v>
      </c>
      <c r="BV17" s="702">
        <v>15</v>
      </c>
    </row>
    <row r="18" spans="2:74" ht="15" customHeight="1">
      <c r="D18" s="652">
        <v>17</v>
      </c>
      <c r="E18" s="653" t="s">
        <v>42</v>
      </c>
      <c r="F18" s="653" t="s">
        <v>43</v>
      </c>
      <c r="G18" s="361"/>
      <c r="H18" s="263" t="str">
        <f>IF(H8&gt;1," లక్షల ",IF(H8&gt;0," లక్ష ",""))</f>
        <v/>
      </c>
      <c r="I18" s="263" t="str">
        <f>IF(I8=1," వెయ్యి ",IF(I8&gt;0," వేల ",""))</f>
        <v xml:space="preserve"> వేల </v>
      </c>
      <c r="J18" s="263" t="str">
        <f>IF(J8=1," వంద",IF(J8&gt;0," వందల ",""))</f>
        <v xml:space="preserve"> వందల </v>
      </c>
      <c r="K18" s="263" t="str">
        <f>IF(H3="","",IF(H3=1,"రూపాయి",IF(H3&gt;1,"రూపాయలు","")))</f>
        <v>రూపాయలు</v>
      </c>
      <c r="M18" s="366">
        <v>17</v>
      </c>
      <c r="N18" s="4">
        <v>20050</v>
      </c>
      <c r="O18" s="354">
        <v>20640</v>
      </c>
      <c r="P18" s="354">
        <v>21230</v>
      </c>
      <c r="Q18" s="355">
        <v>21820</v>
      </c>
      <c r="S18" s="654">
        <v>0</v>
      </c>
      <c r="T18" s="708">
        <v>44166</v>
      </c>
      <c r="U18" s="734">
        <f>U1</f>
        <v>8</v>
      </c>
      <c r="V18" s="639"/>
      <c r="W18" s="734">
        <f>W1</f>
        <v>0</v>
      </c>
      <c r="X18" s="639"/>
      <c r="Y18" s="636"/>
      <c r="Z18" s="734" t="str">
        <f>Z1</f>
        <v>ID</v>
      </c>
      <c r="AA18" s="734">
        <f>AA1</f>
        <v>8</v>
      </c>
      <c r="AB18" s="824" t="str">
        <f>AB1</f>
        <v>AGI</v>
      </c>
      <c r="AC18" s="824"/>
      <c r="AD18" s="734">
        <f>AD1</f>
        <v>2</v>
      </c>
      <c r="AE18" s="734"/>
      <c r="AF18" s="734" t="str">
        <f>AF1</f>
        <v>PD</v>
      </c>
      <c r="AG18" s="734">
        <f>AG1</f>
        <v>8</v>
      </c>
      <c r="AH18" s="824" t="str">
        <f>AH1</f>
        <v>AGI</v>
      </c>
      <c r="AI18" s="824"/>
      <c r="AJ18" s="734">
        <f>AJ1</f>
        <v>2</v>
      </c>
      <c r="AK18" s="734"/>
      <c r="AL18" s="741" t="s">
        <v>894</v>
      </c>
      <c r="AM18" s="740" t="str">
        <f>IF(DATA!G9="Promotion Dt","PD",IF(DATA!G9="Increment Dt","ID","NA"))</f>
        <v>NA</v>
      </c>
      <c r="AN18" s="21"/>
      <c r="AO18" s="365" t="s">
        <v>8</v>
      </c>
      <c r="AP18" s="343">
        <f>IF(DATA!G12="",0,IF(DATA!G12="NOT APPLICABLE",0,LOOKUP(DATA!G12,T2:T15,AM2:AM15)))</f>
        <v>0</v>
      </c>
      <c r="AQ18" s="661" t="s">
        <v>873</v>
      </c>
      <c r="AR18" s="662">
        <f>IF(DATA!G7="",T18,IF(DATA!G7="Not Applicable",T18,EDATE(DATA!G7,1)))</f>
        <v>44166</v>
      </c>
      <c r="AS18" s="21"/>
      <c r="AT18" s="361"/>
      <c r="AU18" s="361"/>
      <c r="AZ18" s="648"/>
      <c r="BA18" s="6"/>
      <c r="BB18" s="6"/>
      <c r="BC18" s="6"/>
      <c r="BD18" s="6"/>
      <c r="BE18" s="6"/>
      <c r="BF18" s="6"/>
      <c r="BG18" s="6"/>
      <c r="BH18" s="6"/>
      <c r="BI18" s="6"/>
      <c r="BL18" s="21"/>
      <c r="BM18" s="21"/>
      <c r="BN18" s="21"/>
      <c r="BS18" s="691" t="s">
        <v>476</v>
      </c>
      <c r="BT18" s="689">
        <v>8.5</v>
      </c>
      <c r="BU18" s="695">
        <v>2000</v>
      </c>
      <c r="BV18" s="702">
        <v>16</v>
      </c>
    </row>
    <row r="19" spans="2:74">
      <c r="B19" s="668"/>
      <c r="D19" s="652">
        <v>18</v>
      </c>
      <c r="E19" s="653" t="s">
        <v>44</v>
      </c>
      <c r="F19" s="653" t="s">
        <v>45</v>
      </c>
      <c r="G19" s="361"/>
      <c r="H19" s="264"/>
      <c r="I19" s="264"/>
      <c r="J19" s="264"/>
      <c r="K19" s="264"/>
      <c r="M19" s="366">
        <v>18</v>
      </c>
      <c r="N19" s="354">
        <v>20640</v>
      </c>
      <c r="O19" s="354">
        <v>21230</v>
      </c>
      <c r="P19" s="355">
        <v>21820</v>
      </c>
      <c r="Q19" s="356">
        <v>22460</v>
      </c>
      <c r="AO19" s="365" t="s">
        <v>7</v>
      </c>
      <c r="AP19" s="343">
        <f>IF(DATA!G13=30,PRO!AP18,IF(DATA!G13=15,PRO!AP18/2,0))</f>
        <v>0</v>
      </c>
      <c r="AQ19" s="661" t="s">
        <v>874</v>
      </c>
      <c r="AR19" s="662">
        <f>IF(DATA!G10="",T18,IF(DATA!G10="Not Applicable",T18,EDATE(DATA!G10,1)))</f>
        <v>44166</v>
      </c>
      <c r="AT19" s="361"/>
      <c r="AU19" s="361"/>
      <c r="AV19" s="1"/>
      <c r="AW19" s="1"/>
      <c r="AX19" s="1"/>
      <c r="AY19" s="1"/>
      <c r="AZ19" s="648"/>
      <c r="BB19" s="701" t="str">
        <f>DATA!G3</f>
        <v>GPF</v>
      </c>
      <c r="BC19" s="698"/>
      <c r="BD19" s="698" t="str">
        <f>DATA!L40</f>
        <v>YES</v>
      </c>
      <c r="BI19" s="129"/>
      <c r="BR19" s="632"/>
      <c r="BS19" s="691" t="s">
        <v>477</v>
      </c>
      <c r="BT19" s="689">
        <v>9</v>
      </c>
      <c r="BU19" s="695"/>
      <c r="BV19" s="702">
        <v>17</v>
      </c>
    </row>
    <row r="20" spans="2:74">
      <c r="B20" s="668"/>
      <c r="D20" s="652">
        <v>19</v>
      </c>
      <c r="E20" s="653" t="s">
        <v>46</v>
      </c>
      <c r="F20" s="653" t="s">
        <v>47</v>
      </c>
      <c r="G20" s="361"/>
      <c r="H20" s="815" t="str">
        <f>IF(H3=0,"శూన్యం",IF(H3&gt;0,TRIM(CONCATENATE(H17,H18,I17,I18,J17,J18,IF(AND(H3&gt;100,J7=6)," ",""),K17,"  ",K18)),""))</f>
        <v>తొమ్మిది వేల తొమ్మిది వందల నలభై ఎనిమిది రూపాయలు</v>
      </c>
      <c r="I20" s="816"/>
      <c r="J20" s="816"/>
      <c r="K20" s="817"/>
      <c r="M20" s="366">
        <v>19</v>
      </c>
      <c r="N20" s="354">
        <v>21230</v>
      </c>
      <c r="O20" s="355">
        <v>21820</v>
      </c>
      <c r="P20" s="356">
        <v>22460</v>
      </c>
      <c r="Q20" s="4">
        <v>23100</v>
      </c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892</v>
      </c>
      <c r="AD20" s="20">
        <f>SUM(AD4:AD15)</f>
        <v>469920</v>
      </c>
      <c r="AE20" s="799">
        <f>SUM(AE4:AE15)</f>
        <v>477690</v>
      </c>
      <c r="AF20" s="20"/>
      <c r="AG20" s="20"/>
      <c r="AH20" s="20"/>
      <c r="AI20" s="20" t="s">
        <v>892</v>
      </c>
      <c r="AJ20" s="799">
        <f>SUM(AJ4:AJ15)</f>
        <v>469920</v>
      </c>
      <c r="AK20" s="799">
        <f>SUM(AK4:AK15)</f>
        <v>477690</v>
      </c>
      <c r="AL20" s="20"/>
      <c r="AM20" s="20">
        <f>SUM(AM4:AM15)</f>
        <v>477690</v>
      </c>
      <c r="AO20" s="365" t="s">
        <v>669</v>
      </c>
      <c r="AP20" s="345">
        <f>IF(DATA!G12="NOT APPLICABLE",0,IF(DATA!G12="",0,IF(DATA!G13&gt;0,LOOKUP(DATA!G12,'ANNEXURE I'!B5:B16,'ANNEXURE I'!Z5:Z16),"")))</f>
        <v>0</v>
      </c>
      <c r="AQ20" s="709" t="s">
        <v>877</v>
      </c>
      <c r="AR20" s="710">
        <f>IF(DATA!G17="",T38,IF(DATA!G17="Not Applicable",T38,DATA!G17))</f>
        <v>42948</v>
      </c>
      <c r="AT20" s="361"/>
      <c r="AU20" s="361"/>
      <c r="AV20" s="1"/>
      <c r="AW20" s="1"/>
      <c r="AX20" s="1"/>
      <c r="AY20" s="1"/>
      <c r="AZ20" s="648"/>
      <c r="BB20" s="701" t="s">
        <v>427</v>
      </c>
      <c r="BC20" s="698"/>
      <c r="BD20" s="699">
        <f>BC15-150000</f>
        <v>25595</v>
      </c>
      <c r="BI20" s="663"/>
      <c r="BR20" s="632"/>
      <c r="BS20" s="691" t="s">
        <v>478</v>
      </c>
      <c r="BT20" s="689">
        <v>9.5</v>
      </c>
      <c r="BU20" s="696"/>
      <c r="BV20" s="702">
        <v>18</v>
      </c>
    </row>
    <row r="21" spans="2:74">
      <c r="D21" s="652">
        <v>20</v>
      </c>
      <c r="E21" s="653" t="s">
        <v>48</v>
      </c>
      <c r="F21" s="653" t="s">
        <v>49</v>
      </c>
      <c r="G21" s="361"/>
      <c r="H21" s="818"/>
      <c r="I21" s="819"/>
      <c r="J21" s="819"/>
      <c r="K21" s="820"/>
      <c r="M21" s="366">
        <v>20</v>
      </c>
      <c r="N21" s="355">
        <v>21820</v>
      </c>
      <c r="O21" s="356">
        <v>22460</v>
      </c>
      <c r="P21" s="4">
        <v>23100</v>
      </c>
      <c r="Q21" s="356">
        <v>23740</v>
      </c>
      <c r="AO21" s="365" t="s">
        <v>670</v>
      </c>
      <c r="AP21" s="346">
        <f>IF(DATA!G12="NOT APPLICABLE",0,IF(DATA!G12="",0,IF(DATA!G13&gt;0,LOOKUP(DATA!G12,'ANNEXURE I'!B5:B16,'ANNEXURE I'!AA5:AA16),"")))</f>
        <v>0</v>
      </c>
      <c r="AQ21" s="709" t="s">
        <v>878</v>
      </c>
      <c r="AR21" s="710">
        <f>IF(DATA!G18="",T38,IF(DATA!G18="Not Applicable",T38,DATA!G18))</f>
        <v>44166</v>
      </c>
      <c r="AT21" s="361"/>
      <c r="AU21" s="361"/>
      <c r="AV21" s="6"/>
      <c r="AZ21" s="648"/>
      <c r="BB21" s="701" t="s">
        <v>428</v>
      </c>
      <c r="BC21" s="698"/>
      <c r="BD21" s="699">
        <f>BC2-BD20</f>
        <v>107480</v>
      </c>
      <c r="BI21" s="663"/>
      <c r="BR21" s="657"/>
      <c r="BS21" s="691" t="s">
        <v>479</v>
      </c>
      <c r="BT21" s="689">
        <v>10</v>
      </c>
      <c r="BU21" s="697"/>
      <c r="BV21" s="693">
        <v>19</v>
      </c>
    </row>
    <row r="22" spans="2:74">
      <c r="D22" s="652">
        <v>21</v>
      </c>
      <c r="E22" s="653" t="s">
        <v>50</v>
      </c>
      <c r="F22" s="653" t="s">
        <v>51</v>
      </c>
      <c r="G22" s="361"/>
      <c r="H22" s="821"/>
      <c r="I22" s="822"/>
      <c r="J22" s="822"/>
      <c r="K22" s="823"/>
      <c r="M22" s="366">
        <v>21</v>
      </c>
      <c r="N22" s="356">
        <v>22460</v>
      </c>
      <c r="O22" s="4">
        <v>23100</v>
      </c>
      <c r="P22" s="356">
        <v>23740</v>
      </c>
      <c r="Q22" s="355">
        <v>24440</v>
      </c>
      <c r="AT22" s="361"/>
      <c r="AU22" s="361"/>
      <c r="AV22" s="6"/>
      <c r="BB22" s="701" t="s">
        <v>363</v>
      </c>
      <c r="BC22" s="698"/>
      <c r="BD22" s="700">
        <f>IF(BD21&lt;0,0,BD21)</f>
        <v>107480</v>
      </c>
      <c r="BI22" s="664"/>
      <c r="BS22" s="691" t="s">
        <v>480</v>
      </c>
      <c r="BT22" s="689">
        <v>10.5</v>
      </c>
      <c r="BU22" s="697"/>
      <c r="BV22" s="702">
        <v>20</v>
      </c>
    </row>
    <row r="23" spans="2:74">
      <c r="D23" s="652">
        <v>22</v>
      </c>
      <c r="E23" s="653" t="s">
        <v>52</v>
      </c>
      <c r="F23" s="653" t="s">
        <v>53</v>
      </c>
      <c r="G23" s="361"/>
      <c r="H23" s="369"/>
      <c r="I23" s="369"/>
      <c r="J23" s="369"/>
      <c r="K23" s="369"/>
      <c r="M23" s="366">
        <v>22</v>
      </c>
      <c r="N23" s="4">
        <v>23100</v>
      </c>
      <c r="O23" s="356">
        <v>23740</v>
      </c>
      <c r="P23" s="355">
        <v>24440</v>
      </c>
      <c r="Q23" s="355">
        <v>25140</v>
      </c>
      <c r="AT23" s="361"/>
      <c r="AU23" s="361"/>
      <c r="AV23" s="6"/>
      <c r="BB23" s="701" t="s">
        <v>364</v>
      </c>
      <c r="BC23" s="698"/>
      <c r="BD23" s="699">
        <f>BC2-BD22</f>
        <v>25595</v>
      </c>
      <c r="BI23" s="663"/>
      <c r="BS23" s="691" t="s">
        <v>481</v>
      </c>
      <c r="BT23" s="689">
        <v>11</v>
      </c>
      <c r="BU23" s="697"/>
      <c r="BV23" s="702">
        <v>21</v>
      </c>
    </row>
    <row r="24" spans="2:74">
      <c r="D24" s="652">
        <v>23</v>
      </c>
      <c r="E24" s="653" t="s">
        <v>54</v>
      </c>
      <c r="F24" s="653" t="s">
        <v>55</v>
      </c>
      <c r="G24" s="361"/>
      <c r="H24" s="367">
        <f>12*DATA!G38</f>
        <v>99600</v>
      </c>
      <c r="I24" s="543" t="s">
        <v>802</v>
      </c>
      <c r="J24" s="369"/>
      <c r="K24" s="369"/>
      <c r="M24" s="366">
        <v>23</v>
      </c>
      <c r="N24" s="356">
        <v>23740</v>
      </c>
      <c r="O24" s="355">
        <v>24440</v>
      </c>
      <c r="P24" s="355">
        <v>25140</v>
      </c>
      <c r="Q24" s="355">
        <v>25840</v>
      </c>
      <c r="AT24" s="361"/>
      <c r="AU24" s="361"/>
      <c r="AV24" s="6"/>
      <c r="AZ24" s="1"/>
      <c r="BA24" s="665"/>
      <c r="BB24" s="665"/>
      <c r="BC24" s="665"/>
      <c r="BD24" s="665"/>
      <c r="BE24" s="665"/>
      <c r="BF24" s="665"/>
      <c r="BG24" s="665"/>
      <c r="BH24" s="665"/>
      <c r="BI24" s="665"/>
      <c r="BS24" s="691" t="s">
        <v>482</v>
      </c>
      <c r="BT24" s="689">
        <v>11.5</v>
      </c>
      <c r="BU24" s="697"/>
      <c r="BV24" s="702">
        <v>22</v>
      </c>
    </row>
    <row r="25" spans="2:74">
      <c r="D25" s="652">
        <v>24</v>
      </c>
      <c r="E25" s="653" t="s">
        <v>56</v>
      </c>
      <c r="F25" s="653" t="s">
        <v>57</v>
      </c>
      <c r="G25" s="361"/>
      <c r="H25" s="367">
        <f>DATA!G38</f>
        <v>8300</v>
      </c>
      <c r="I25" s="543" t="s">
        <v>803</v>
      </c>
      <c r="J25" s="369"/>
      <c r="K25" s="369"/>
      <c r="M25" s="366">
        <v>24</v>
      </c>
      <c r="N25" s="355">
        <v>24440</v>
      </c>
      <c r="O25" s="355">
        <v>25140</v>
      </c>
      <c r="P25" s="355">
        <v>25840</v>
      </c>
      <c r="Q25" s="355">
        <v>26600</v>
      </c>
      <c r="S25" s="654"/>
      <c r="T25" s="606" t="s">
        <v>657</v>
      </c>
      <c r="U25" s="635"/>
      <c r="V25" s="635"/>
      <c r="W25" s="635"/>
      <c r="X25" s="635"/>
      <c r="Y25" s="644" t="s">
        <v>876</v>
      </c>
      <c r="Z25" s="727"/>
      <c r="AA25" s="727"/>
      <c r="AB25" s="727"/>
      <c r="AC25" s="727"/>
      <c r="AO25" s="645" t="s">
        <v>674</v>
      </c>
      <c r="AP25" s="645"/>
      <c r="AQ25" s="660" t="s">
        <v>880</v>
      </c>
      <c r="AR25" s="660"/>
      <c r="AT25" s="361"/>
      <c r="AU25" s="361"/>
      <c r="AV25" s="6"/>
      <c r="AZ25" s="1"/>
      <c r="BA25" s="665"/>
      <c r="BB25" s="665"/>
      <c r="BC25" s="665"/>
      <c r="BD25" s="665"/>
      <c r="BE25" s="665"/>
      <c r="BF25" s="665"/>
      <c r="BG25" s="665"/>
      <c r="BH25" s="665"/>
      <c r="BI25" s="665"/>
      <c r="BS25" s="691" t="s">
        <v>483</v>
      </c>
      <c r="BT25" s="689">
        <v>12</v>
      </c>
      <c r="BU25" s="697"/>
      <c r="BV25" s="702">
        <v>23</v>
      </c>
    </row>
    <row r="26" spans="2:74">
      <c r="D26" s="652">
        <v>25</v>
      </c>
      <c r="E26" s="653" t="s">
        <v>58</v>
      </c>
      <c r="F26" s="653" t="s">
        <v>59</v>
      </c>
      <c r="G26" s="361"/>
      <c r="H26" s="369"/>
      <c r="I26" s="369"/>
      <c r="J26" s="369"/>
      <c r="K26" s="369"/>
      <c r="M26" s="366">
        <v>25</v>
      </c>
      <c r="N26" s="355">
        <v>25140</v>
      </c>
      <c r="O26" s="355">
        <v>25840</v>
      </c>
      <c r="P26" s="355">
        <v>26600</v>
      </c>
      <c r="Q26" s="355">
        <v>27360</v>
      </c>
      <c r="S26" s="382">
        <v>1</v>
      </c>
      <c r="T26" s="627">
        <v>42736</v>
      </c>
      <c r="U26" s="636" t="str">
        <f t="shared" ref="U26:U37" si="23">IF(MONTH(T26)&amp;YEAR(T26)=MONTH(AGIM2017)&amp;YEAR(AGIM2017),"AGI","")</f>
        <v/>
      </c>
      <c r="V26" s="639">
        <f>IF(DATA!G16&gt;0,DATA!G16,0)</f>
        <v>38130</v>
      </c>
      <c r="W26" s="636" t="str">
        <f t="shared" ref="W26:W37" si="24">IF(MONTH(T26)&amp;YEAR(T26)=MONTH(AASM2017)&amp;YEAR(AASM2017),"AAS","")</f>
        <v/>
      </c>
      <c r="X26" s="639">
        <f>V26</f>
        <v>38130</v>
      </c>
      <c r="Y26" s="655">
        <f>MAX(V26,X26)</f>
        <v>38130</v>
      </c>
      <c r="Z26" s="6">
        <f t="shared" ref="Z26:Z37" si="25">IF(W26="AAS",AAS2017BP,Y26)</f>
        <v>38130</v>
      </c>
      <c r="AA26" s="640"/>
      <c r="AB26" s="640"/>
      <c r="AC26" s="640"/>
      <c r="AO26" s="364">
        <f>IF(DATA!G18="NOT APPLICABLE",0,DATA!G18)</f>
        <v>0</v>
      </c>
      <c r="AP26" s="2"/>
      <c r="AQ26" s="365" t="s">
        <v>8</v>
      </c>
      <c r="AR26" s="343">
        <f>IF(DATA!G20="",0,IF(DATA!G20="NOT APPLICABLE",0,LOOKUP(DATA!G20,T26:T37,Z26:Z37)))</f>
        <v>0</v>
      </c>
      <c r="AT26" s="361"/>
      <c r="AU26" s="361"/>
      <c r="AV26" s="6"/>
      <c r="AZ26" s="1"/>
      <c r="BA26" s="665"/>
      <c r="BB26" s="665"/>
      <c r="BC26" s="665"/>
      <c r="BD26" s="665"/>
      <c r="BE26" s="665"/>
      <c r="BF26" s="665"/>
      <c r="BG26" s="665"/>
      <c r="BH26" s="665"/>
      <c r="BI26" s="665"/>
      <c r="BS26" s="691" t="s">
        <v>484</v>
      </c>
      <c r="BT26" s="689">
        <v>12.5</v>
      </c>
      <c r="BU26" s="697"/>
      <c r="BV26" s="702">
        <v>24</v>
      </c>
    </row>
    <row r="27" spans="2:74">
      <c r="D27" s="652">
        <v>26</v>
      </c>
      <c r="E27" s="653" t="s">
        <v>60</v>
      </c>
      <c r="F27" s="653" t="s">
        <v>61</v>
      </c>
      <c r="G27" s="361"/>
      <c r="H27" s="369"/>
      <c r="I27" s="369"/>
      <c r="J27" s="369"/>
      <c r="K27" s="369"/>
      <c r="M27" s="366">
        <v>26</v>
      </c>
      <c r="N27" s="355">
        <v>25840</v>
      </c>
      <c r="O27" s="355">
        <v>26600</v>
      </c>
      <c r="P27" s="355">
        <v>27360</v>
      </c>
      <c r="Q27" s="355">
        <v>28120</v>
      </c>
      <c r="S27" s="656">
        <v>2</v>
      </c>
      <c r="T27" s="628">
        <v>42767</v>
      </c>
      <c r="U27" s="636" t="str">
        <f t="shared" si="23"/>
        <v/>
      </c>
      <c r="V27" s="639">
        <f>IF(U27="",V26,IF(U27="AGI",LOOKUP(V26,BASICS,AGI),V26))</f>
        <v>38130</v>
      </c>
      <c r="W27" s="636" t="str">
        <f t="shared" si="24"/>
        <v/>
      </c>
      <c r="X27" s="639">
        <f t="shared" ref="X27:X37" si="26">IF(W27="AAS",LOOKUP(V27,AGI,AAS),IF(U27="AGI",LOOKUP(X26,BASICS,AGI),X26))</f>
        <v>38130</v>
      </c>
      <c r="Y27" s="655">
        <f t="shared" ref="Y27:Y37" si="27">MAX(V27,X27)</f>
        <v>38130</v>
      </c>
      <c r="Z27" s="6">
        <f t="shared" si="25"/>
        <v>38130</v>
      </c>
      <c r="AA27" s="640"/>
      <c r="AB27" s="640"/>
      <c r="AC27" s="640"/>
      <c r="AO27" s="364">
        <f>EOMONTH(AO26,0)</f>
        <v>31</v>
      </c>
      <c r="AP27" s="2"/>
      <c r="AQ27" s="365" t="s">
        <v>7</v>
      </c>
      <c r="AR27" s="343">
        <f>IF(DATA!G21=30,PRO!AR26,IF(DATA!G21=15,PRO!AR26/2,0))</f>
        <v>0</v>
      </c>
      <c r="AT27" s="361"/>
      <c r="AU27" s="361"/>
      <c r="AV27" s="6"/>
      <c r="AZ27" s="1"/>
      <c r="BA27" s="665"/>
      <c r="BB27" s="665"/>
      <c r="BC27" s="665"/>
      <c r="BD27" s="665"/>
      <c r="BE27" s="665"/>
      <c r="BF27" s="665"/>
      <c r="BG27" s="665"/>
      <c r="BH27" s="665"/>
      <c r="BI27" s="665"/>
      <c r="BS27" s="691" t="s">
        <v>485</v>
      </c>
      <c r="BT27" s="689">
        <v>13</v>
      </c>
      <c r="BU27" s="697"/>
      <c r="BV27" s="693">
        <v>25</v>
      </c>
    </row>
    <row r="28" spans="2:74">
      <c r="D28" s="652">
        <v>27</v>
      </c>
      <c r="E28" s="653" t="s">
        <v>62</v>
      </c>
      <c r="F28" s="653" t="s">
        <v>63</v>
      </c>
      <c r="G28" s="361"/>
      <c r="H28" s="369"/>
      <c r="I28" s="369"/>
      <c r="J28" s="369"/>
      <c r="K28" s="369"/>
      <c r="M28" s="366">
        <v>27</v>
      </c>
      <c r="N28" s="355">
        <v>26600</v>
      </c>
      <c r="O28" s="355">
        <v>27360</v>
      </c>
      <c r="P28" s="355">
        <v>28120</v>
      </c>
      <c r="Q28" s="355">
        <v>28940</v>
      </c>
      <c r="S28" s="382">
        <v>3</v>
      </c>
      <c r="T28" s="629">
        <v>42795</v>
      </c>
      <c r="U28" s="636" t="str">
        <f t="shared" si="23"/>
        <v/>
      </c>
      <c r="V28" s="639">
        <f t="shared" ref="V28:V36" si="28">IF(U28="",V27,IF(U28="AGI",LOOKUP(V27,BASICS,AGI),V27))</f>
        <v>38130</v>
      </c>
      <c r="W28" s="636" t="str">
        <f t="shared" si="24"/>
        <v/>
      </c>
      <c r="X28" s="639">
        <f t="shared" si="26"/>
        <v>38130</v>
      </c>
      <c r="Y28" s="655">
        <f t="shared" si="27"/>
        <v>38130</v>
      </c>
      <c r="Z28" s="6">
        <f t="shared" si="25"/>
        <v>38130</v>
      </c>
      <c r="AA28" s="640"/>
      <c r="AB28" s="640"/>
      <c r="AC28" s="640"/>
      <c r="AO28" s="2"/>
      <c r="AP28" s="2"/>
      <c r="AQ28" s="365" t="s">
        <v>669</v>
      </c>
      <c r="AR28" s="345"/>
      <c r="AT28" s="361"/>
      <c r="AU28" s="361"/>
      <c r="AV28" s="6"/>
      <c r="AZ28" s="1"/>
      <c r="BA28" s="665"/>
      <c r="BB28" s="665"/>
      <c r="BC28" s="665"/>
      <c r="BD28" s="665"/>
      <c r="BE28" s="665"/>
      <c r="BF28" s="665"/>
      <c r="BG28" s="665"/>
      <c r="BH28" s="665"/>
      <c r="BI28" s="665"/>
      <c r="BS28" s="691" t="s">
        <v>486</v>
      </c>
      <c r="BT28" s="689">
        <v>13.5</v>
      </c>
      <c r="BU28" s="697"/>
      <c r="BV28" s="702">
        <v>26</v>
      </c>
    </row>
    <row r="29" spans="2:74" ht="15.75">
      <c r="D29" s="652">
        <v>28</v>
      </c>
      <c r="E29" s="653" t="s">
        <v>64</v>
      </c>
      <c r="F29" s="653" t="s">
        <v>65</v>
      </c>
      <c r="G29" s="361"/>
      <c r="H29" s="260">
        <f>INT(H24/100000)</f>
        <v>0</v>
      </c>
      <c r="I29" s="260">
        <f>INT(H24/1000-H29*100)</f>
        <v>99</v>
      </c>
      <c r="J29" s="260">
        <f>INT(H24/100-H29*1000-I29*10)</f>
        <v>6</v>
      </c>
      <c r="K29" s="260">
        <f>INT(H24-H29*100000-I29*1000-J29*100)</f>
        <v>0</v>
      </c>
      <c r="M29" s="366">
        <v>28</v>
      </c>
      <c r="N29" s="355">
        <v>27360</v>
      </c>
      <c r="O29" s="355">
        <v>28120</v>
      </c>
      <c r="P29" s="355">
        <v>28940</v>
      </c>
      <c r="Q29" s="355">
        <v>29760</v>
      </c>
      <c r="S29" s="656">
        <v>4</v>
      </c>
      <c r="T29" s="627">
        <v>42826</v>
      </c>
      <c r="U29" s="636" t="str">
        <f t="shared" si="23"/>
        <v/>
      </c>
      <c r="V29" s="639">
        <f t="shared" si="28"/>
        <v>38130</v>
      </c>
      <c r="W29" s="636" t="str">
        <f t="shared" si="24"/>
        <v/>
      </c>
      <c r="X29" s="639">
        <f t="shared" si="26"/>
        <v>38130</v>
      </c>
      <c r="Y29" s="655">
        <f t="shared" si="27"/>
        <v>38130</v>
      </c>
      <c r="Z29" s="6">
        <f t="shared" si="25"/>
        <v>38130</v>
      </c>
      <c r="AA29" s="640"/>
      <c r="AB29" s="640"/>
      <c r="AC29" s="640"/>
      <c r="AO29" s="116">
        <f>IF(DATA!G18="NOT APPLICABLE",0,DATEDIF(AO26,AO27,"MD"))</f>
        <v>31</v>
      </c>
      <c r="AP29" s="2"/>
      <c r="AQ29" s="365" t="s">
        <v>670</v>
      </c>
      <c r="AR29" s="346"/>
      <c r="AT29" s="361"/>
      <c r="AU29" s="361"/>
      <c r="AV29" s="6"/>
      <c r="AZ29" s="1"/>
      <c r="BA29" s="665"/>
      <c r="BB29" s="665"/>
      <c r="BC29" s="665"/>
      <c r="BD29" s="665"/>
      <c r="BE29" s="665"/>
      <c r="BF29" s="665"/>
      <c r="BG29" s="665"/>
      <c r="BH29" s="665"/>
      <c r="BI29" s="665"/>
      <c r="BS29" s="691" t="s">
        <v>487</v>
      </c>
      <c r="BT29" s="689">
        <v>14</v>
      </c>
      <c r="BU29" s="697"/>
      <c r="BV29" s="702">
        <v>27</v>
      </c>
    </row>
    <row r="30" spans="2:74" ht="15.75">
      <c r="D30" s="652">
        <v>29</v>
      </c>
      <c r="E30" s="653" t="s">
        <v>66</v>
      </c>
      <c r="F30" s="653" t="s">
        <v>67</v>
      </c>
      <c r="G30" s="361"/>
      <c r="H30" s="260">
        <f>IF(AND(J29=0,K29=0),1,2)</f>
        <v>2</v>
      </c>
      <c r="I30" s="260">
        <f>IF(K29=0,3,4)</f>
        <v>3</v>
      </c>
      <c r="J30" s="260">
        <f>IF(OR(H30=1,I30=3),5,6)</f>
        <v>5</v>
      </c>
      <c r="K30" s="371"/>
      <c r="M30" s="366">
        <v>29</v>
      </c>
      <c r="N30" s="355">
        <v>28120</v>
      </c>
      <c r="O30" s="355">
        <v>28940</v>
      </c>
      <c r="P30" s="355">
        <v>29760</v>
      </c>
      <c r="Q30" s="355">
        <v>30580</v>
      </c>
      <c r="S30" s="382">
        <v>5</v>
      </c>
      <c r="T30" s="628">
        <v>42856</v>
      </c>
      <c r="U30" s="636" t="str">
        <f t="shared" si="23"/>
        <v/>
      </c>
      <c r="V30" s="639">
        <f t="shared" si="28"/>
        <v>38130</v>
      </c>
      <c r="W30" s="636" t="str">
        <f t="shared" si="24"/>
        <v/>
      </c>
      <c r="X30" s="639">
        <f t="shared" si="26"/>
        <v>38130</v>
      </c>
      <c r="Y30" s="655">
        <f t="shared" si="27"/>
        <v>38130</v>
      </c>
      <c r="Z30" s="6">
        <f t="shared" si="25"/>
        <v>38130</v>
      </c>
      <c r="AA30" s="640"/>
      <c r="AB30" s="640"/>
      <c r="AC30" s="640"/>
      <c r="AO30" s="116">
        <f>IF(DATA!G18="NOT APPLICABLE",0,AO29+1)</f>
        <v>32</v>
      </c>
      <c r="AP30" s="2"/>
      <c r="AQ30" s="116"/>
      <c r="AR30" s="2"/>
      <c r="AT30" s="361"/>
      <c r="AU30" s="361"/>
      <c r="AV30" s="6"/>
      <c r="AZ30" s="1"/>
      <c r="BA30" s="665"/>
      <c r="BB30" s="665"/>
      <c r="BC30" s="665"/>
      <c r="BD30" s="665"/>
      <c r="BE30" s="665"/>
      <c r="BF30" s="665"/>
      <c r="BG30" s="665"/>
      <c r="BH30" s="665"/>
      <c r="BI30" s="665"/>
      <c r="BS30" s="691" t="s">
        <v>488</v>
      </c>
      <c r="BT30" s="689">
        <v>14.5</v>
      </c>
      <c r="BU30" s="697"/>
      <c r="BV30" s="702">
        <v>28</v>
      </c>
    </row>
    <row r="31" spans="2:74">
      <c r="D31" s="652">
        <v>30</v>
      </c>
      <c r="E31" s="653" t="s">
        <v>68</v>
      </c>
      <c r="F31" s="653" t="s">
        <v>69</v>
      </c>
      <c r="G31" s="361"/>
      <c r="H31" s="369"/>
      <c r="I31" s="369"/>
      <c r="J31" s="369"/>
      <c r="K31" s="369"/>
      <c r="M31" s="366">
        <v>30</v>
      </c>
      <c r="N31" s="355">
        <v>28940</v>
      </c>
      <c r="O31" s="355">
        <v>29760</v>
      </c>
      <c r="P31" s="355">
        <v>30580</v>
      </c>
      <c r="Q31" s="355">
        <v>31460</v>
      </c>
      <c r="S31" s="656">
        <v>6</v>
      </c>
      <c r="T31" s="629">
        <v>42887</v>
      </c>
      <c r="U31" s="636" t="str">
        <f t="shared" si="23"/>
        <v/>
      </c>
      <c r="V31" s="639">
        <f t="shared" si="28"/>
        <v>38130</v>
      </c>
      <c r="W31" s="636" t="str">
        <f t="shared" si="24"/>
        <v/>
      </c>
      <c r="X31" s="639">
        <f t="shared" si="26"/>
        <v>38130</v>
      </c>
      <c r="Y31" s="655">
        <f t="shared" si="27"/>
        <v>38130</v>
      </c>
      <c r="Z31" s="6">
        <f t="shared" si="25"/>
        <v>38130</v>
      </c>
      <c r="AA31" s="640"/>
      <c r="AB31" s="640"/>
      <c r="AC31" s="640"/>
      <c r="AO31" s="2">
        <f>IF(DATA!G18="NOT APPLICABLE",0,DATA!G19)</f>
        <v>0</v>
      </c>
      <c r="AP31" s="351" t="s">
        <v>6</v>
      </c>
      <c r="AQ31" s="2"/>
      <c r="AR31" s="351"/>
      <c r="AT31" s="361"/>
      <c r="AU31" s="361"/>
      <c r="AV31" s="6"/>
      <c r="AZ31" s="1"/>
      <c r="BA31" s="665"/>
      <c r="BB31" s="665"/>
      <c r="BC31" s="665"/>
      <c r="BD31" s="665"/>
      <c r="BE31" s="665"/>
      <c r="BF31" s="665"/>
      <c r="BG31" s="665"/>
      <c r="BH31" s="665"/>
      <c r="BI31" s="665"/>
      <c r="BS31" s="691" t="s">
        <v>489</v>
      </c>
      <c r="BT31" s="689">
        <v>15</v>
      </c>
      <c r="BU31" s="697"/>
      <c r="BV31" s="702">
        <v>29</v>
      </c>
    </row>
    <row r="32" spans="2:74">
      <c r="D32" s="652">
        <v>31</v>
      </c>
      <c r="E32" s="653" t="s">
        <v>70</v>
      </c>
      <c r="F32" s="653" t="s">
        <v>71</v>
      </c>
      <c r="G32" s="361"/>
      <c r="H32" s="261" t="str">
        <f>IF(H29=0,"",LOOKUP(H29,D2:D100,E2:E100))</f>
        <v/>
      </c>
      <c r="I32" s="261" t="str">
        <f>IF(I29=0,"",LOOKUP(I29,D2:D100,E2:E100))</f>
        <v>Ninety Nine</v>
      </c>
      <c r="J32" s="261" t="str">
        <f>IF(J29=0,"",LOOKUP(J29,D2:D100,E2:E100))</f>
        <v>Six</v>
      </c>
      <c r="K32" s="261" t="str">
        <f>IF(K29=0,"",LOOKUP(K29,D2:D100,E2:E100))</f>
        <v/>
      </c>
      <c r="M32" s="366">
        <v>31</v>
      </c>
      <c r="N32" s="355">
        <v>29760</v>
      </c>
      <c r="O32" s="355">
        <v>30580</v>
      </c>
      <c r="P32" s="355">
        <v>31460</v>
      </c>
      <c r="Q32" s="355">
        <v>32340</v>
      </c>
      <c r="S32" s="382">
        <v>7</v>
      </c>
      <c r="T32" s="627">
        <v>42917</v>
      </c>
      <c r="U32" s="636" t="str">
        <f t="shared" si="23"/>
        <v/>
      </c>
      <c r="V32" s="639">
        <f t="shared" si="28"/>
        <v>38130</v>
      </c>
      <c r="W32" s="636" t="str">
        <f t="shared" si="24"/>
        <v/>
      </c>
      <c r="X32" s="639">
        <f t="shared" si="26"/>
        <v>38130</v>
      </c>
      <c r="Y32" s="655">
        <f t="shared" si="27"/>
        <v>38130</v>
      </c>
      <c r="Z32" s="6">
        <f t="shared" si="25"/>
        <v>38130</v>
      </c>
      <c r="AA32" s="640"/>
      <c r="AB32" s="640"/>
      <c r="AC32" s="640"/>
      <c r="AO32" s="339">
        <f>IF(DATA!G18="NOT APPLICABLE",0,AO30-AO33)</f>
        <v>-1</v>
      </c>
      <c r="AP32" s="370" t="s">
        <v>658</v>
      </c>
      <c r="AQ32" s="339"/>
      <c r="AR32" s="370"/>
      <c r="AT32" s="361"/>
      <c r="AU32" s="361"/>
      <c r="AV32" s="6"/>
      <c r="AZ32" s="1"/>
      <c r="BA32" s="665"/>
      <c r="BB32" s="665"/>
      <c r="BC32" s="665"/>
      <c r="BD32" s="665"/>
      <c r="BE32" s="665"/>
      <c r="BF32" s="665"/>
      <c r="BG32" s="665"/>
      <c r="BH32" s="665"/>
      <c r="BI32" s="665"/>
      <c r="BS32" s="691" t="s">
        <v>490</v>
      </c>
      <c r="BT32" s="689">
        <v>15.5</v>
      </c>
      <c r="BU32" s="697"/>
      <c r="BV32" s="702">
        <v>30</v>
      </c>
    </row>
    <row r="33" spans="2:74">
      <c r="D33" s="652">
        <v>32</v>
      </c>
      <c r="E33" s="653" t="s">
        <v>72</v>
      </c>
      <c r="F33" s="653" t="s">
        <v>73</v>
      </c>
      <c r="G33" s="361"/>
      <c r="H33" s="261" t="str">
        <f>IF(H29&gt;1," Lakhs ",IF(H29&gt;0," Lakh ",""))</f>
        <v/>
      </c>
      <c r="I33" s="261" t="str">
        <f>IF(I29&gt;0," Thousand ","")</f>
        <v xml:space="preserve"> Thousand </v>
      </c>
      <c r="J33" s="261" t="str">
        <f>IF(J29&gt;0," Hundred ","")</f>
        <v xml:space="preserve"> Hundred </v>
      </c>
      <c r="K33" s="261" t="str">
        <f>IF(H24="","",IF(H24=1,"Rupee",IF(H24&gt;1,"Rupees","")))</f>
        <v>Rupees</v>
      </c>
      <c r="M33" s="366">
        <v>32</v>
      </c>
      <c r="N33" s="355">
        <v>30580</v>
      </c>
      <c r="O33" s="355">
        <v>31460</v>
      </c>
      <c r="P33" s="355">
        <v>32340</v>
      </c>
      <c r="Q33" s="355">
        <v>33220</v>
      </c>
      <c r="S33" s="656">
        <v>8</v>
      </c>
      <c r="T33" s="628">
        <v>42948</v>
      </c>
      <c r="U33" s="636" t="str">
        <f t="shared" si="23"/>
        <v>AGI</v>
      </c>
      <c r="V33" s="639">
        <f t="shared" si="28"/>
        <v>39160</v>
      </c>
      <c r="W33" s="636" t="str">
        <f t="shared" si="24"/>
        <v/>
      </c>
      <c r="X33" s="639">
        <f t="shared" si="26"/>
        <v>39160</v>
      </c>
      <c r="Y33" s="655">
        <f t="shared" si="27"/>
        <v>39160</v>
      </c>
      <c r="Z33" s="6">
        <f t="shared" si="25"/>
        <v>39160</v>
      </c>
      <c r="AA33" s="640"/>
      <c r="AB33" s="640"/>
      <c r="AC33" s="640"/>
      <c r="AO33" s="339">
        <f>IF(DATA!G18="NOT APPLICABLE",0,AO30-AO31+1)</f>
        <v>33</v>
      </c>
      <c r="AP33" s="370" t="s">
        <v>659</v>
      </c>
      <c r="AQ33" s="339"/>
      <c r="AR33" s="370"/>
      <c r="AT33" s="361"/>
      <c r="AU33" s="361"/>
      <c r="AV33" s="6"/>
      <c r="AZ33" s="1"/>
      <c r="BA33" s="665"/>
      <c r="BB33" s="665"/>
      <c r="BC33" s="665"/>
      <c r="BD33" s="665"/>
      <c r="BE33" s="665"/>
      <c r="BF33" s="665"/>
      <c r="BG33" s="665"/>
      <c r="BH33" s="665"/>
      <c r="BI33" s="665"/>
      <c r="BS33" s="691" t="s">
        <v>491</v>
      </c>
      <c r="BT33" s="696"/>
      <c r="BU33" s="696"/>
      <c r="BV33" s="693">
        <v>31</v>
      </c>
    </row>
    <row r="34" spans="2:74">
      <c r="D34" s="652">
        <v>33</v>
      </c>
      <c r="E34" s="653" t="s">
        <v>74</v>
      </c>
      <c r="F34" s="653" t="s">
        <v>75</v>
      </c>
      <c r="G34" s="361"/>
      <c r="H34" s="369"/>
      <c r="I34" s="369"/>
      <c r="J34" s="369"/>
      <c r="K34" s="369"/>
      <c r="M34" s="366">
        <v>33</v>
      </c>
      <c r="N34" s="355">
        <v>31460</v>
      </c>
      <c r="O34" s="355">
        <v>32340</v>
      </c>
      <c r="P34" s="355">
        <v>33220</v>
      </c>
      <c r="Q34" s="355">
        <v>34170</v>
      </c>
      <c r="S34" s="382">
        <v>9</v>
      </c>
      <c r="T34" s="629">
        <v>42979</v>
      </c>
      <c r="U34" s="636" t="str">
        <f t="shared" si="23"/>
        <v/>
      </c>
      <c r="V34" s="639">
        <f t="shared" si="28"/>
        <v>39160</v>
      </c>
      <c r="W34" s="636" t="str">
        <f t="shared" si="24"/>
        <v/>
      </c>
      <c r="X34" s="639">
        <f t="shared" si="26"/>
        <v>39160</v>
      </c>
      <c r="Y34" s="655">
        <f t="shared" si="27"/>
        <v>39160</v>
      </c>
      <c r="Z34" s="6">
        <f t="shared" si="25"/>
        <v>39160</v>
      </c>
      <c r="AA34" s="640"/>
      <c r="AB34" s="640"/>
      <c r="AC34" s="640"/>
      <c r="AO34" s="2"/>
      <c r="AP34" s="2"/>
      <c r="AQ34" s="2"/>
      <c r="AR34" s="2"/>
      <c r="AT34" s="361"/>
      <c r="AU34" s="361"/>
      <c r="AV34" s="6"/>
      <c r="AZ34" s="1"/>
      <c r="BA34" s="665"/>
      <c r="BB34" s="665"/>
      <c r="BC34" s="665"/>
      <c r="BD34" s="665"/>
      <c r="BE34" s="665"/>
      <c r="BF34" s="665"/>
      <c r="BG34" s="665"/>
      <c r="BH34" s="665"/>
      <c r="BI34" s="665"/>
      <c r="BS34" s="696"/>
      <c r="BT34" s="696"/>
      <c r="BU34" s="696"/>
      <c r="BV34" s="646"/>
    </row>
    <row r="35" spans="2:74" ht="15" customHeight="1">
      <c r="D35" s="652">
        <v>34</v>
      </c>
      <c r="E35" s="653" t="s">
        <v>76</v>
      </c>
      <c r="F35" s="653" t="s">
        <v>77</v>
      </c>
      <c r="G35" s="361"/>
      <c r="H35" s="809" t="str">
        <f>IF(H24=0,"Zero",IF(H24&gt;0,TRIM(CONCATENATE(H32,H33,I32,I33,J32,J33,IF(AND(H24&gt;100,J30=6)," and ",""),K32,"  ",K33)),""))</f>
        <v>Ninety Nine Thousand Six Hundred Rupees</v>
      </c>
      <c r="I35" s="810"/>
      <c r="J35" s="810"/>
      <c r="K35" s="811"/>
      <c r="M35" s="366">
        <v>34</v>
      </c>
      <c r="N35" s="355">
        <v>32340</v>
      </c>
      <c r="O35" s="355">
        <v>33220</v>
      </c>
      <c r="P35" s="355">
        <v>34170</v>
      </c>
      <c r="Q35" s="355">
        <v>35120</v>
      </c>
      <c r="S35" s="656">
        <v>10</v>
      </c>
      <c r="T35" s="627">
        <v>43009</v>
      </c>
      <c r="U35" s="636" t="str">
        <f t="shared" si="23"/>
        <v/>
      </c>
      <c r="V35" s="639">
        <f t="shared" si="28"/>
        <v>39160</v>
      </c>
      <c r="W35" s="636" t="str">
        <f t="shared" si="24"/>
        <v/>
      </c>
      <c r="X35" s="639">
        <f t="shared" si="26"/>
        <v>39160</v>
      </c>
      <c r="Y35" s="655">
        <f t="shared" si="27"/>
        <v>39160</v>
      </c>
      <c r="Z35" s="6">
        <f t="shared" si="25"/>
        <v>39160</v>
      </c>
      <c r="AA35" s="640"/>
      <c r="AB35" s="640"/>
      <c r="AC35" s="640"/>
      <c r="AO35" s="116">
        <f>LOOKUP(AASM2017,T26:T37,V26:V37)</f>
        <v>39160</v>
      </c>
      <c r="AP35" s="715" t="str">
        <f>"* "&amp;AO32&amp;" / "&amp;AO30</f>
        <v>* -1 / 32</v>
      </c>
      <c r="AQ35" s="116"/>
      <c r="AR35" s="714"/>
      <c r="AT35" s="361"/>
      <c r="AU35" s="361"/>
      <c r="AV35" s="6"/>
      <c r="AZ35" s="1"/>
      <c r="BA35" s="665"/>
      <c r="BB35" s="665"/>
      <c r="BC35" s="665"/>
      <c r="BD35" s="665"/>
      <c r="BE35" s="665"/>
      <c r="BF35" s="665"/>
      <c r="BG35" s="665"/>
      <c r="BH35" s="665"/>
      <c r="BI35" s="665"/>
      <c r="BR35" s="634"/>
    </row>
    <row r="36" spans="2:74">
      <c r="D36" s="652">
        <v>35</v>
      </c>
      <c r="E36" s="653" t="s">
        <v>78</v>
      </c>
      <c r="F36" s="653" t="s">
        <v>79</v>
      </c>
      <c r="G36" s="361"/>
      <c r="H36" s="812"/>
      <c r="I36" s="813"/>
      <c r="J36" s="813"/>
      <c r="K36" s="814"/>
      <c r="M36" s="366">
        <v>35</v>
      </c>
      <c r="N36" s="355">
        <v>33220</v>
      </c>
      <c r="O36" s="355">
        <v>34170</v>
      </c>
      <c r="P36" s="355">
        <v>35120</v>
      </c>
      <c r="Q36" s="355">
        <v>36070</v>
      </c>
      <c r="S36" s="382">
        <v>11</v>
      </c>
      <c r="T36" s="628">
        <v>43040</v>
      </c>
      <c r="U36" s="636" t="str">
        <f t="shared" si="23"/>
        <v/>
      </c>
      <c r="V36" s="639">
        <f t="shared" si="28"/>
        <v>39160</v>
      </c>
      <c r="W36" s="636" t="str">
        <f t="shared" si="24"/>
        <v/>
      </c>
      <c r="X36" s="639">
        <f t="shared" si="26"/>
        <v>39160</v>
      </c>
      <c r="Y36" s="655">
        <f t="shared" si="27"/>
        <v>39160</v>
      </c>
      <c r="Z36" s="6">
        <f t="shared" si="25"/>
        <v>39160</v>
      </c>
      <c r="AA36" s="640"/>
      <c r="AB36" s="640"/>
      <c r="AC36" s="640"/>
      <c r="AO36" s="116">
        <f>LOOKUP(AASM2017,T26:T37,Y26:Y37)</f>
        <v>39160</v>
      </c>
      <c r="AP36" s="715" t="str">
        <f>"* "&amp;AO33&amp;" / "&amp;AO30</f>
        <v>* 33 / 32</v>
      </c>
      <c r="AQ36" s="116"/>
      <c r="AR36" s="714"/>
      <c r="AT36" s="361"/>
      <c r="AU36" s="361"/>
      <c r="AV36" s="6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633"/>
      <c r="BK36" s="633"/>
      <c r="BL36" s="633"/>
      <c r="BM36" s="633"/>
      <c r="BN36" s="633"/>
      <c r="BO36" s="632"/>
      <c r="BP36" s="632"/>
      <c r="BQ36" s="632"/>
      <c r="BR36" s="7"/>
      <c r="BV36" s="646"/>
    </row>
    <row r="37" spans="2:74">
      <c r="B37" s="669"/>
      <c r="D37" s="652">
        <v>36</v>
      </c>
      <c r="E37" s="653" t="s">
        <v>80</v>
      </c>
      <c r="F37" s="653" t="s">
        <v>81</v>
      </c>
      <c r="G37" s="361"/>
      <c r="H37" s="369"/>
      <c r="I37" s="369"/>
      <c r="J37" s="369"/>
      <c r="K37" s="369"/>
      <c r="M37" s="366">
        <v>36</v>
      </c>
      <c r="N37" s="355">
        <v>34170</v>
      </c>
      <c r="O37" s="355">
        <v>35120</v>
      </c>
      <c r="P37" s="355">
        <v>36070</v>
      </c>
      <c r="Q37" s="355">
        <v>37100</v>
      </c>
      <c r="S37" s="656">
        <v>12</v>
      </c>
      <c r="T37" s="629">
        <v>43070</v>
      </c>
      <c r="U37" s="636" t="str">
        <f t="shared" si="23"/>
        <v/>
      </c>
      <c r="V37" s="639">
        <f>IF(U37="",V36,IF(U37="AGI",LOOKUP(V36,BASICS,AGI),V36))</f>
        <v>39160</v>
      </c>
      <c r="W37" s="636" t="str">
        <f t="shared" si="24"/>
        <v/>
      </c>
      <c r="X37" s="639">
        <f t="shared" si="26"/>
        <v>39160</v>
      </c>
      <c r="Y37" s="655">
        <f t="shared" si="27"/>
        <v>39160</v>
      </c>
      <c r="Z37" s="6">
        <f t="shared" si="25"/>
        <v>39160</v>
      </c>
      <c r="AA37" s="640"/>
      <c r="AB37" s="640"/>
      <c r="AC37" s="640"/>
      <c r="AO37" s="117">
        <f>IF(DATA!G18="",0,IF(DATA!G18="NOT APPLICABLE",0,ROUND((AO36-AO35)/AO30*AO33,0)))</f>
        <v>0</v>
      </c>
      <c r="AP37" s="716" t="s">
        <v>881</v>
      </c>
      <c r="AQ37" s="117"/>
      <c r="AR37" s="714"/>
      <c r="AT37" s="361"/>
      <c r="AU37" s="361"/>
      <c r="AV37" s="6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633"/>
      <c r="BK37" s="633"/>
      <c r="BL37" s="633"/>
      <c r="BM37" s="633"/>
      <c r="BN37" s="633"/>
      <c r="BO37" s="632"/>
      <c r="BP37" s="632"/>
      <c r="BQ37" s="632"/>
      <c r="BV37" s="646"/>
    </row>
    <row r="38" spans="2:74">
      <c r="D38" s="652">
        <v>37</v>
      </c>
      <c r="E38" s="653" t="s">
        <v>82</v>
      </c>
      <c r="F38" s="653" t="s">
        <v>83</v>
      </c>
      <c r="G38" s="361"/>
      <c r="H38" s="369"/>
      <c r="I38" s="369"/>
      <c r="J38" s="369"/>
      <c r="K38" s="369"/>
      <c r="M38" s="366">
        <v>37</v>
      </c>
      <c r="N38" s="355">
        <v>35120</v>
      </c>
      <c r="O38" s="355">
        <v>36070</v>
      </c>
      <c r="P38" s="355">
        <v>37100</v>
      </c>
      <c r="Q38" s="355">
        <v>38130</v>
      </c>
      <c r="S38" s="654">
        <v>0</v>
      </c>
      <c r="T38" s="708">
        <v>44166</v>
      </c>
      <c r="U38" s="636"/>
      <c r="V38" s="639"/>
      <c r="W38" s="636"/>
      <c r="X38" s="639"/>
      <c r="Y38" s="703"/>
      <c r="AA38" s="705"/>
      <c r="AB38" s="705"/>
      <c r="AC38" s="705"/>
      <c r="AO38" s="117"/>
      <c r="AP38" s="597"/>
      <c r="AQ38" s="117"/>
      <c r="AR38" s="597"/>
      <c r="AT38" s="361"/>
      <c r="AU38" s="361"/>
      <c r="AV38" s="6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633"/>
      <c r="BK38" s="633"/>
      <c r="BL38" s="633"/>
      <c r="BM38" s="633"/>
      <c r="BN38" s="633"/>
      <c r="BO38" s="632"/>
      <c r="BP38" s="632"/>
      <c r="BQ38" s="632"/>
      <c r="BR38" s="658"/>
      <c r="BV38" s="646"/>
    </row>
    <row r="39" spans="2:74">
      <c r="D39" s="652">
        <v>38</v>
      </c>
      <c r="E39" s="653" t="s">
        <v>84</v>
      </c>
      <c r="F39" s="653" t="s">
        <v>85</v>
      </c>
      <c r="G39" s="361"/>
      <c r="H39" s="369"/>
      <c r="I39" s="369"/>
      <c r="J39" s="369"/>
      <c r="K39" s="369"/>
      <c r="M39" s="366">
        <v>38</v>
      </c>
      <c r="N39" s="355">
        <v>36070</v>
      </c>
      <c r="O39" s="355">
        <v>37100</v>
      </c>
      <c r="P39" s="355">
        <v>38130</v>
      </c>
      <c r="Q39" s="355">
        <v>39160</v>
      </c>
      <c r="S39" s="706"/>
      <c r="T39" s="707"/>
      <c r="U39" s="649"/>
      <c r="V39" s="650"/>
      <c r="W39" s="649"/>
      <c r="X39" s="650"/>
      <c r="Y39" s="705"/>
      <c r="AA39" s="705"/>
      <c r="AB39" s="705"/>
      <c r="AC39" s="705"/>
      <c r="AO39" s="117" t="s">
        <v>879</v>
      </c>
      <c r="AP39" s="711">
        <f>ROUND(AO36*AO33/AO30+AO35*AO32/AO30,0)</f>
        <v>39160</v>
      </c>
      <c r="AQ39" s="117"/>
      <c r="AR39" s="597"/>
      <c r="AT39" s="361"/>
      <c r="AU39" s="361"/>
      <c r="AV39" s="6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633"/>
      <c r="BK39" s="633"/>
      <c r="BL39" s="633"/>
      <c r="BM39" s="633"/>
      <c r="BN39" s="633"/>
      <c r="BO39" s="632"/>
      <c r="BP39" s="632"/>
      <c r="BQ39" s="632"/>
      <c r="BR39" s="129"/>
      <c r="BV39" s="646"/>
    </row>
    <row r="40" spans="2:74">
      <c r="D40" s="652">
        <v>39</v>
      </c>
      <c r="E40" s="653" t="s">
        <v>86</v>
      </c>
      <c r="F40" s="653" t="s">
        <v>87</v>
      </c>
      <c r="G40" s="361"/>
      <c r="H40" s="369"/>
      <c r="I40" s="369"/>
      <c r="J40" s="369"/>
      <c r="K40" s="369"/>
      <c r="M40" s="366">
        <v>39</v>
      </c>
      <c r="N40" s="355">
        <v>37100</v>
      </c>
      <c r="O40" s="355">
        <v>38130</v>
      </c>
      <c r="P40" s="355">
        <v>39160</v>
      </c>
      <c r="Q40" s="355">
        <v>40270</v>
      </c>
      <c r="S40" s="704"/>
      <c r="T40" s="707"/>
      <c r="U40" s="649"/>
      <c r="V40" s="650"/>
      <c r="W40" s="649"/>
      <c r="X40" s="650"/>
      <c r="Y40" s="705"/>
      <c r="AA40" s="705"/>
      <c r="AB40" s="705"/>
      <c r="AC40" s="705"/>
      <c r="AT40" s="361"/>
      <c r="AU40" s="361"/>
      <c r="AV40" s="6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633"/>
      <c r="BK40" s="633"/>
      <c r="BL40" s="633"/>
      <c r="BM40" s="633"/>
      <c r="BN40" s="633"/>
      <c r="BO40" s="632"/>
      <c r="BP40" s="632"/>
      <c r="BQ40" s="632"/>
      <c r="BR40" s="658"/>
      <c r="BV40" s="646"/>
    </row>
    <row r="41" spans="2:74">
      <c r="D41" s="652">
        <v>40</v>
      </c>
      <c r="E41" s="653" t="s">
        <v>88</v>
      </c>
      <c r="F41" s="653" t="s">
        <v>89</v>
      </c>
      <c r="G41" s="361"/>
      <c r="H41" s="369"/>
      <c r="I41" s="369"/>
      <c r="J41" s="369"/>
      <c r="K41" s="369"/>
      <c r="M41" s="366">
        <v>40</v>
      </c>
      <c r="N41" s="355">
        <v>38130</v>
      </c>
      <c r="O41" s="355">
        <v>39160</v>
      </c>
      <c r="P41" s="355">
        <v>40270</v>
      </c>
      <c r="Q41" s="355">
        <v>41380</v>
      </c>
      <c r="S41" s="706"/>
      <c r="T41" s="707"/>
      <c r="U41" s="649"/>
      <c r="V41" s="650"/>
      <c r="W41" s="649"/>
      <c r="X41" s="650"/>
      <c r="Y41" s="705"/>
      <c r="Z41" s="705"/>
      <c r="AA41" s="705"/>
      <c r="AB41" s="705"/>
      <c r="AC41" s="705"/>
      <c r="AT41" s="361"/>
      <c r="AU41" s="361"/>
      <c r="AV41" s="6"/>
      <c r="BO41" s="658"/>
      <c r="BP41" s="658"/>
      <c r="BQ41" s="658"/>
      <c r="BR41" s="658"/>
      <c r="BV41" s="646"/>
    </row>
    <row r="42" spans="2:74">
      <c r="D42" s="652">
        <v>41</v>
      </c>
      <c r="E42" s="653" t="s">
        <v>90</v>
      </c>
      <c r="F42" s="653" t="s">
        <v>91</v>
      </c>
      <c r="G42" s="361"/>
      <c r="H42" s="369"/>
      <c r="I42" s="369"/>
      <c r="J42" s="369"/>
      <c r="K42" s="369"/>
      <c r="M42" s="366">
        <v>41</v>
      </c>
      <c r="N42" s="355">
        <v>39160</v>
      </c>
      <c r="O42" s="355">
        <v>40270</v>
      </c>
      <c r="P42" s="355">
        <v>41380</v>
      </c>
      <c r="Q42" s="355">
        <v>42490</v>
      </c>
      <c r="U42" s="649"/>
      <c r="V42" s="650"/>
      <c r="W42" s="649"/>
      <c r="X42" s="650"/>
      <c r="Y42" s="649"/>
      <c r="Z42" s="649"/>
      <c r="AA42" s="649"/>
      <c r="AB42" s="649"/>
      <c r="AC42" s="649"/>
      <c r="AT42" s="361"/>
      <c r="AU42" s="361"/>
      <c r="AV42" s="6"/>
      <c r="BO42" s="658"/>
      <c r="BP42" s="658"/>
      <c r="BQ42" s="658"/>
      <c r="BR42" s="658"/>
      <c r="BV42" s="646"/>
    </row>
    <row r="43" spans="2:74">
      <c r="D43" s="652">
        <v>42</v>
      </c>
      <c r="E43" s="653" t="s">
        <v>92</v>
      </c>
      <c r="F43" s="653" t="s">
        <v>93</v>
      </c>
      <c r="G43" s="361"/>
      <c r="H43" s="369"/>
      <c r="I43" s="369"/>
      <c r="J43" s="369"/>
      <c r="K43" s="369"/>
      <c r="M43" s="366">
        <v>42</v>
      </c>
      <c r="N43" s="355">
        <v>40270</v>
      </c>
      <c r="O43" s="355">
        <v>41380</v>
      </c>
      <c r="P43" s="355">
        <v>42490</v>
      </c>
      <c r="Q43" s="355">
        <v>43680</v>
      </c>
      <c r="AT43" s="361"/>
      <c r="AU43" s="361"/>
      <c r="AV43" s="1"/>
      <c r="BO43" s="658"/>
      <c r="BP43" s="658"/>
      <c r="BQ43" s="658"/>
      <c r="BR43" s="658"/>
    </row>
    <row r="44" spans="2:74">
      <c r="D44" s="652">
        <v>43</v>
      </c>
      <c r="E44" s="653" t="s">
        <v>94</v>
      </c>
      <c r="F44" s="653" t="s">
        <v>95</v>
      </c>
      <c r="G44" s="361"/>
      <c r="H44" s="369"/>
      <c r="I44" s="369"/>
      <c r="J44" s="369"/>
      <c r="K44" s="369"/>
      <c r="M44" s="366">
        <v>43</v>
      </c>
      <c r="N44" s="355">
        <v>41380</v>
      </c>
      <c r="O44" s="355">
        <v>42490</v>
      </c>
      <c r="P44" s="355">
        <v>43680</v>
      </c>
      <c r="Q44" s="355">
        <v>44870</v>
      </c>
      <c r="AT44" s="361"/>
      <c r="AU44" s="361"/>
      <c r="AV44" s="1"/>
      <c r="BO44" s="658"/>
      <c r="BP44" s="658"/>
      <c r="BQ44" s="658"/>
      <c r="BR44" s="658"/>
    </row>
    <row r="45" spans="2:74">
      <c r="D45" s="652">
        <v>44</v>
      </c>
      <c r="E45" s="653" t="s">
        <v>96</v>
      </c>
      <c r="F45" s="653" t="s">
        <v>97</v>
      </c>
      <c r="G45" s="361"/>
      <c r="H45" s="369"/>
      <c r="I45" s="369"/>
      <c r="J45" s="369"/>
      <c r="K45" s="369"/>
      <c r="M45" s="366">
        <v>44</v>
      </c>
      <c r="N45" s="355">
        <v>42490</v>
      </c>
      <c r="O45" s="355">
        <v>43680</v>
      </c>
      <c r="P45" s="355">
        <v>44870</v>
      </c>
      <c r="Q45" s="355">
        <v>46060</v>
      </c>
      <c r="AT45" s="361"/>
      <c r="AU45" s="361"/>
      <c r="AV45" s="1"/>
      <c r="BO45" s="658"/>
      <c r="BP45" s="658"/>
      <c r="BQ45" s="658"/>
      <c r="BR45" s="658"/>
    </row>
    <row r="46" spans="2:74">
      <c r="D46" s="652">
        <v>45</v>
      </c>
      <c r="E46" s="653" t="s">
        <v>98</v>
      </c>
      <c r="F46" s="653" t="s">
        <v>99</v>
      </c>
      <c r="G46" s="361"/>
      <c r="H46" s="369"/>
      <c r="I46" s="369"/>
      <c r="J46" s="369"/>
      <c r="K46" s="369"/>
      <c r="M46" s="366">
        <v>45</v>
      </c>
      <c r="N46" s="355">
        <v>43680</v>
      </c>
      <c r="O46" s="355">
        <v>44870</v>
      </c>
      <c r="P46" s="355">
        <v>46060</v>
      </c>
      <c r="Q46" s="355">
        <v>47330</v>
      </c>
      <c r="AT46" s="361"/>
      <c r="AU46" s="361"/>
      <c r="AV46" s="1"/>
      <c r="BO46" s="658"/>
      <c r="BP46" s="658"/>
      <c r="BQ46" s="658"/>
      <c r="BR46" s="658"/>
    </row>
    <row r="47" spans="2:74">
      <c r="D47" s="652">
        <v>46</v>
      </c>
      <c r="E47" s="653" t="s">
        <v>100</v>
      </c>
      <c r="F47" s="653" t="s">
        <v>101</v>
      </c>
      <c r="G47" s="361"/>
      <c r="H47" s="369"/>
      <c r="I47" s="369"/>
      <c r="J47" s="369"/>
      <c r="K47" s="369"/>
      <c r="M47" s="366">
        <v>46</v>
      </c>
      <c r="N47" s="355">
        <v>44870</v>
      </c>
      <c r="O47" s="355">
        <v>46060</v>
      </c>
      <c r="P47" s="355">
        <v>47330</v>
      </c>
      <c r="Q47" s="355">
        <v>48600</v>
      </c>
      <c r="AT47" s="361"/>
      <c r="AU47" s="361"/>
      <c r="AV47" s="1"/>
      <c r="BO47" s="658"/>
      <c r="BP47" s="658"/>
      <c r="BQ47" s="658"/>
      <c r="BR47" s="658"/>
    </row>
    <row r="48" spans="2:74">
      <c r="D48" s="652">
        <v>47</v>
      </c>
      <c r="E48" s="653" t="s">
        <v>102</v>
      </c>
      <c r="F48" s="653" t="s">
        <v>103</v>
      </c>
      <c r="G48" s="361"/>
      <c r="H48" s="369"/>
      <c r="I48" s="369"/>
      <c r="J48" s="369"/>
      <c r="K48" s="369"/>
      <c r="M48" s="366">
        <v>47</v>
      </c>
      <c r="N48" s="355">
        <v>46060</v>
      </c>
      <c r="O48" s="355">
        <v>47330</v>
      </c>
      <c r="P48" s="355">
        <v>48600</v>
      </c>
      <c r="Q48" s="355">
        <v>49870</v>
      </c>
      <c r="AT48" s="361"/>
      <c r="AU48" s="361"/>
      <c r="AV48" s="1"/>
      <c r="BO48" s="658"/>
      <c r="BP48" s="658"/>
      <c r="BQ48" s="658"/>
      <c r="BR48" s="658"/>
    </row>
    <row r="49" spans="2:70">
      <c r="D49" s="652">
        <v>48</v>
      </c>
      <c r="E49" s="653" t="s">
        <v>104</v>
      </c>
      <c r="F49" s="653" t="s">
        <v>105</v>
      </c>
      <c r="G49" s="361"/>
      <c r="H49" s="369"/>
      <c r="I49" s="369"/>
      <c r="J49" s="369"/>
      <c r="K49" s="369"/>
      <c r="M49" s="366">
        <v>48</v>
      </c>
      <c r="N49" s="355">
        <v>47330</v>
      </c>
      <c r="O49" s="355">
        <v>48600</v>
      </c>
      <c r="P49" s="355">
        <v>49870</v>
      </c>
      <c r="Q49" s="357">
        <v>51230</v>
      </c>
      <c r="AT49" s="361"/>
      <c r="AU49" s="361"/>
      <c r="AV49" s="1"/>
      <c r="BO49" s="658"/>
      <c r="BP49" s="658"/>
      <c r="BQ49" s="658"/>
      <c r="BR49" s="658"/>
    </row>
    <row r="50" spans="2:70">
      <c r="D50" s="652">
        <v>49</v>
      </c>
      <c r="E50" s="653" t="s">
        <v>106</v>
      </c>
      <c r="F50" s="653" t="s">
        <v>107</v>
      </c>
      <c r="G50" s="361"/>
      <c r="H50" s="369"/>
      <c r="I50" s="369"/>
      <c r="J50" s="369"/>
      <c r="K50" s="369"/>
      <c r="M50" s="366">
        <v>49</v>
      </c>
      <c r="N50" s="355">
        <v>48600</v>
      </c>
      <c r="O50" s="355">
        <v>49870</v>
      </c>
      <c r="P50" s="357">
        <v>51230</v>
      </c>
      <c r="Q50" s="355">
        <v>52590</v>
      </c>
      <c r="AT50" s="361"/>
      <c r="AU50" s="361"/>
      <c r="AV50" s="1"/>
      <c r="BO50" s="658"/>
      <c r="BP50" s="658"/>
      <c r="BQ50" s="658"/>
      <c r="BR50" s="658"/>
    </row>
    <row r="51" spans="2:70">
      <c r="D51" s="652">
        <v>50</v>
      </c>
      <c r="E51" s="653" t="s">
        <v>108</v>
      </c>
      <c r="F51" s="653" t="s">
        <v>109</v>
      </c>
      <c r="G51" s="361"/>
      <c r="H51" s="369"/>
      <c r="I51" s="369"/>
      <c r="J51" s="369"/>
      <c r="K51" s="369"/>
      <c r="M51" s="366">
        <v>50</v>
      </c>
      <c r="N51" s="355">
        <v>49870</v>
      </c>
      <c r="O51" s="357">
        <v>51230</v>
      </c>
      <c r="P51" s="355">
        <v>52590</v>
      </c>
      <c r="Q51" s="355">
        <v>53950</v>
      </c>
      <c r="AT51" s="361"/>
      <c r="AU51" s="361"/>
      <c r="AV51" s="1"/>
      <c r="BO51" s="658"/>
      <c r="BP51" s="658"/>
      <c r="BQ51" s="658"/>
      <c r="BR51" s="658"/>
    </row>
    <row r="52" spans="2:70">
      <c r="D52" s="652">
        <v>51</v>
      </c>
      <c r="E52" s="653" t="s">
        <v>110</v>
      </c>
      <c r="F52" s="653" t="s">
        <v>111</v>
      </c>
      <c r="G52" s="361"/>
      <c r="H52" s="369"/>
      <c r="I52" s="369"/>
      <c r="J52" s="369"/>
      <c r="K52" s="369"/>
      <c r="M52" s="366">
        <v>51</v>
      </c>
      <c r="N52" s="357">
        <v>51230</v>
      </c>
      <c r="O52" s="355">
        <v>52590</v>
      </c>
      <c r="P52" s="355">
        <v>53950</v>
      </c>
      <c r="Q52" s="355">
        <v>55410</v>
      </c>
      <c r="AT52" s="361"/>
      <c r="AU52" s="361"/>
      <c r="AV52" s="1"/>
      <c r="BO52" s="659"/>
      <c r="BP52" s="659"/>
      <c r="BQ52" s="659"/>
      <c r="BR52" s="659"/>
    </row>
    <row r="53" spans="2:70">
      <c r="D53" s="652">
        <v>52</v>
      </c>
      <c r="E53" s="653" t="s">
        <v>112</v>
      </c>
      <c r="F53" s="653" t="s">
        <v>113</v>
      </c>
      <c r="G53" s="361"/>
      <c r="H53" s="369"/>
      <c r="I53" s="369"/>
      <c r="J53" s="369"/>
      <c r="K53" s="369"/>
      <c r="M53" s="366">
        <v>52</v>
      </c>
      <c r="N53" s="355">
        <v>52590</v>
      </c>
      <c r="O53" s="355">
        <v>53950</v>
      </c>
      <c r="P53" s="355">
        <v>55410</v>
      </c>
      <c r="Q53" s="355">
        <v>56870</v>
      </c>
      <c r="AT53" s="361"/>
      <c r="AU53" s="361"/>
      <c r="AV53" s="1"/>
      <c r="BO53" s="659"/>
      <c r="BP53" s="659"/>
      <c r="BQ53" s="659"/>
      <c r="BR53" s="659"/>
    </row>
    <row r="54" spans="2:70">
      <c r="D54" s="652">
        <v>53</v>
      </c>
      <c r="E54" s="653" t="s">
        <v>114</v>
      </c>
      <c r="F54" s="653" t="s">
        <v>115</v>
      </c>
      <c r="G54" s="361"/>
      <c r="H54" s="369"/>
      <c r="I54" s="369"/>
      <c r="J54" s="369"/>
      <c r="K54" s="369"/>
      <c r="M54" s="366">
        <v>53</v>
      </c>
      <c r="N54" s="355">
        <v>53950</v>
      </c>
      <c r="O54" s="355">
        <v>55410</v>
      </c>
      <c r="P54" s="355">
        <v>56870</v>
      </c>
      <c r="Q54" s="355">
        <v>58330</v>
      </c>
      <c r="AT54" s="361"/>
      <c r="AU54" s="361"/>
      <c r="AV54" s="1"/>
      <c r="BO54" s="659"/>
      <c r="BP54" s="659"/>
      <c r="BQ54" s="659"/>
      <c r="BR54" s="659"/>
    </row>
    <row r="55" spans="2:70">
      <c r="B55" s="668"/>
      <c r="D55" s="652">
        <v>54</v>
      </c>
      <c r="E55" s="653" t="s">
        <v>116</v>
      </c>
      <c r="F55" s="653" t="s">
        <v>117</v>
      </c>
      <c r="G55" s="361"/>
      <c r="H55" s="369"/>
      <c r="I55" s="369"/>
      <c r="J55" s="369"/>
      <c r="K55" s="369"/>
      <c r="M55" s="366">
        <v>54</v>
      </c>
      <c r="N55" s="355">
        <v>55410</v>
      </c>
      <c r="O55" s="355">
        <v>56870</v>
      </c>
      <c r="P55" s="355">
        <v>58330</v>
      </c>
      <c r="Q55" s="355">
        <v>59890</v>
      </c>
      <c r="AT55" s="361"/>
      <c r="AU55" s="361"/>
      <c r="AV55" s="1"/>
      <c r="BO55" s="632"/>
      <c r="BP55" s="632"/>
      <c r="BQ55" s="632"/>
      <c r="BR55" s="632"/>
    </row>
    <row r="56" spans="2:70">
      <c r="B56" s="668"/>
      <c r="D56" s="652">
        <v>55</v>
      </c>
      <c r="E56" s="653" t="s">
        <v>118</v>
      </c>
      <c r="F56" s="653" t="s">
        <v>119</v>
      </c>
      <c r="G56" s="361"/>
      <c r="H56" s="369"/>
      <c r="I56" s="369"/>
      <c r="J56" s="369"/>
      <c r="K56" s="369"/>
      <c r="M56" s="366">
        <v>55</v>
      </c>
      <c r="N56" s="355">
        <v>56870</v>
      </c>
      <c r="O56" s="355">
        <v>58330</v>
      </c>
      <c r="P56" s="355">
        <v>59890</v>
      </c>
      <c r="Q56" s="355">
        <v>61450</v>
      </c>
      <c r="AT56" s="361"/>
      <c r="AU56" s="361"/>
      <c r="AV56" s="1"/>
      <c r="BO56" s="632"/>
      <c r="BP56" s="632"/>
      <c r="BQ56" s="632"/>
      <c r="BR56" s="632"/>
    </row>
    <row r="57" spans="2:70">
      <c r="B57" s="668"/>
      <c r="D57" s="652">
        <v>56</v>
      </c>
      <c r="E57" s="653" t="s">
        <v>120</v>
      </c>
      <c r="F57" s="653" t="s">
        <v>121</v>
      </c>
      <c r="G57" s="361"/>
      <c r="H57" s="369"/>
      <c r="I57" s="369"/>
      <c r="J57" s="369"/>
      <c r="K57" s="369"/>
      <c r="M57" s="366">
        <v>56</v>
      </c>
      <c r="N57" s="355">
        <v>58330</v>
      </c>
      <c r="O57" s="355">
        <v>59890</v>
      </c>
      <c r="P57" s="355">
        <v>61450</v>
      </c>
      <c r="Q57" s="355">
        <v>63010</v>
      </c>
      <c r="AT57" s="361"/>
      <c r="AU57" s="361"/>
      <c r="AV57" s="1"/>
      <c r="BO57" s="632"/>
      <c r="BP57" s="632"/>
      <c r="BQ57" s="632"/>
      <c r="BR57" s="632"/>
    </row>
    <row r="58" spans="2:70">
      <c r="B58" s="668"/>
      <c r="D58" s="652">
        <v>57</v>
      </c>
      <c r="E58" s="653" t="s">
        <v>122</v>
      </c>
      <c r="F58" s="653" t="s">
        <v>123</v>
      </c>
      <c r="G58" s="361"/>
      <c r="H58" s="369"/>
      <c r="I58" s="369"/>
      <c r="J58" s="369"/>
      <c r="K58" s="369"/>
      <c r="M58" s="366">
        <v>57</v>
      </c>
      <c r="N58" s="355">
        <v>59890</v>
      </c>
      <c r="O58" s="355">
        <v>61450</v>
      </c>
      <c r="P58" s="355">
        <v>63010</v>
      </c>
      <c r="Q58" s="355">
        <v>64670</v>
      </c>
      <c r="AT58" s="361"/>
      <c r="AU58" s="361"/>
      <c r="AV58" s="1"/>
      <c r="BO58" s="632"/>
      <c r="BP58" s="632"/>
      <c r="BQ58" s="632"/>
      <c r="BR58" s="632"/>
    </row>
    <row r="59" spans="2:70">
      <c r="B59" s="668"/>
      <c r="D59" s="652">
        <v>58</v>
      </c>
      <c r="E59" s="653" t="s">
        <v>124</v>
      </c>
      <c r="F59" s="653" t="s">
        <v>125</v>
      </c>
      <c r="G59" s="361"/>
      <c r="H59" s="369"/>
      <c r="I59" s="369"/>
      <c r="J59" s="369"/>
      <c r="K59" s="369"/>
      <c r="M59" s="366">
        <v>58</v>
      </c>
      <c r="N59" s="355">
        <v>61450</v>
      </c>
      <c r="O59" s="355">
        <v>63010</v>
      </c>
      <c r="P59" s="355">
        <v>64670</v>
      </c>
      <c r="Q59" s="355">
        <v>66330</v>
      </c>
      <c r="AT59" s="361"/>
      <c r="AU59" s="361"/>
      <c r="AV59" s="1"/>
      <c r="BO59" s="632"/>
      <c r="BP59" s="632"/>
      <c r="BQ59" s="632"/>
      <c r="BR59" s="632"/>
    </row>
    <row r="60" spans="2:70">
      <c r="B60" s="668"/>
      <c r="D60" s="652">
        <v>59</v>
      </c>
      <c r="E60" s="653" t="s">
        <v>126</v>
      </c>
      <c r="F60" s="653" t="s">
        <v>127</v>
      </c>
      <c r="G60" s="361"/>
      <c r="H60" s="369"/>
      <c r="I60" s="369"/>
      <c r="J60" s="369"/>
      <c r="K60" s="369"/>
      <c r="M60" s="366">
        <v>59</v>
      </c>
      <c r="N60" s="355">
        <v>63010</v>
      </c>
      <c r="O60" s="355">
        <v>64670</v>
      </c>
      <c r="P60" s="355">
        <v>66330</v>
      </c>
      <c r="Q60" s="355">
        <v>67990</v>
      </c>
      <c r="AT60" s="361"/>
      <c r="AU60" s="361"/>
      <c r="AV60" s="1"/>
      <c r="AW60" s="1"/>
      <c r="AX60" s="1"/>
      <c r="AY60" s="1"/>
      <c r="AZ60" s="1"/>
      <c r="BA60" s="633"/>
      <c r="BB60" s="633"/>
      <c r="BC60" s="633"/>
      <c r="BD60" s="633"/>
      <c r="BE60" s="633"/>
      <c r="BF60" s="633"/>
      <c r="BG60" s="633"/>
      <c r="BH60" s="633"/>
      <c r="BI60" s="633"/>
      <c r="BJ60" s="633"/>
      <c r="BK60" s="633"/>
      <c r="BL60" s="632"/>
      <c r="BM60" s="632"/>
      <c r="BN60" s="632"/>
      <c r="BO60" s="632"/>
      <c r="BP60" s="632"/>
      <c r="BQ60" s="632"/>
      <c r="BR60" s="632"/>
    </row>
    <row r="61" spans="2:70">
      <c r="B61" s="668"/>
      <c r="D61" s="652">
        <v>60</v>
      </c>
      <c r="E61" s="653" t="s">
        <v>128</v>
      </c>
      <c r="F61" s="653" t="s">
        <v>129</v>
      </c>
      <c r="G61" s="361"/>
      <c r="H61" s="369"/>
      <c r="I61" s="369"/>
      <c r="J61" s="369"/>
      <c r="K61" s="369"/>
      <c r="M61" s="366">
        <v>60</v>
      </c>
      <c r="N61" s="355">
        <v>64670</v>
      </c>
      <c r="O61" s="355">
        <v>66330</v>
      </c>
      <c r="P61" s="355">
        <v>67990</v>
      </c>
      <c r="Q61" s="355">
        <v>69750</v>
      </c>
      <c r="AT61" s="361"/>
      <c r="AU61" s="361"/>
      <c r="AV61" s="1"/>
      <c r="AW61" s="1"/>
      <c r="AX61" s="1"/>
      <c r="AY61" s="1"/>
      <c r="AZ61" s="1"/>
      <c r="BA61" s="633"/>
      <c r="BB61" s="633"/>
      <c r="BC61" s="633"/>
      <c r="BD61" s="633"/>
      <c r="BE61" s="633"/>
      <c r="BF61" s="633"/>
      <c r="BG61" s="633"/>
      <c r="BH61" s="633"/>
      <c r="BI61" s="633"/>
      <c r="BJ61" s="633"/>
      <c r="BK61" s="633"/>
      <c r="BL61" s="632"/>
      <c r="BM61" s="632"/>
      <c r="BN61" s="632"/>
      <c r="BO61" s="632"/>
      <c r="BP61" s="632"/>
      <c r="BQ61" s="632"/>
      <c r="BR61" s="632"/>
    </row>
    <row r="62" spans="2:70">
      <c r="B62" s="668"/>
      <c r="D62" s="652">
        <v>61</v>
      </c>
      <c r="E62" s="653" t="s">
        <v>130</v>
      </c>
      <c r="F62" s="653" t="s">
        <v>131</v>
      </c>
      <c r="G62" s="361"/>
      <c r="H62" s="369"/>
      <c r="I62" s="369"/>
      <c r="J62" s="369"/>
      <c r="K62" s="369"/>
      <c r="M62" s="366">
        <v>61</v>
      </c>
      <c r="N62" s="355">
        <v>66330</v>
      </c>
      <c r="O62" s="355">
        <v>67990</v>
      </c>
      <c r="P62" s="355">
        <v>69750</v>
      </c>
      <c r="Q62" s="355">
        <v>71510</v>
      </c>
      <c r="AT62" s="361"/>
      <c r="AU62" s="361"/>
      <c r="AV62" s="1"/>
      <c r="AW62" s="1"/>
      <c r="AX62" s="1"/>
      <c r="AY62" s="1"/>
      <c r="AZ62" s="1"/>
      <c r="BA62" s="633"/>
      <c r="BB62" s="633"/>
      <c r="BC62" s="633"/>
      <c r="BD62" s="633"/>
      <c r="BE62" s="633"/>
      <c r="BF62" s="633"/>
      <c r="BG62" s="633"/>
      <c r="BH62" s="633"/>
      <c r="BI62" s="633"/>
      <c r="BJ62" s="633"/>
      <c r="BK62" s="633"/>
      <c r="BL62" s="632"/>
      <c r="BM62" s="632"/>
      <c r="BN62" s="632"/>
      <c r="BO62" s="632"/>
      <c r="BP62" s="632"/>
      <c r="BQ62" s="632"/>
      <c r="BR62" s="632"/>
    </row>
    <row r="63" spans="2:70">
      <c r="B63" s="668"/>
      <c r="D63" s="652">
        <v>62</v>
      </c>
      <c r="E63" s="653" t="s">
        <v>132</v>
      </c>
      <c r="F63" s="653" t="s">
        <v>133</v>
      </c>
      <c r="G63" s="361"/>
      <c r="H63" s="369"/>
      <c r="I63" s="369"/>
      <c r="J63" s="369"/>
      <c r="K63" s="369"/>
      <c r="M63" s="366">
        <v>62</v>
      </c>
      <c r="N63" s="355">
        <v>67990</v>
      </c>
      <c r="O63" s="355">
        <v>69750</v>
      </c>
      <c r="P63" s="355">
        <v>71510</v>
      </c>
      <c r="Q63" s="355">
        <v>73270</v>
      </c>
      <c r="AT63" s="361"/>
      <c r="AU63" s="361"/>
      <c r="AV63" s="1"/>
      <c r="AW63" s="1"/>
      <c r="AX63" s="1"/>
      <c r="AY63" s="1"/>
      <c r="AZ63" s="1"/>
      <c r="BA63" s="633"/>
      <c r="BB63" s="633"/>
      <c r="BC63" s="633"/>
      <c r="BD63" s="633"/>
      <c r="BE63" s="633"/>
      <c r="BF63" s="633"/>
      <c r="BG63" s="633"/>
      <c r="BH63" s="633"/>
      <c r="BI63" s="633"/>
      <c r="BJ63" s="633"/>
      <c r="BK63" s="633"/>
      <c r="BL63" s="632"/>
      <c r="BM63" s="632"/>
      <c r="BN63" s="632"/>
      <c r="BO63" s="632"/>
      <c r="BP63" s="632"/>
      <c r="BQ63" s="632"/>
      <c r="BR63" s="632"/>
    </row>
    <row r="64" spans="2:70">
      <c r="B64" s="668"/>
      <c r="D64" s="652">
        <v>63</v>
      </c>
      <c r="E64" s="653" t="s">
        <v>134</v>
      </c>
      <c r="F64" s="653" t="s">
        <v>135</v>
      </c>
      <c r="G64" s="361"/>
      <c r="H64" s="369"/>
      <c r="I64" s="369"/>
      <c r="J64" s="369"/>
      <c r="K64" s="369"/>
      <c r="M64" s="366">
        <v>63</v>
      </c>
      <c r="N64" s="355">
        <v>69750</v>
      </c>
      <c r="O64" s="355">
        <v>71510</v>
      </c>
      <c r="P64" s="355">
        <v>73270</v>
      </c>
      <c r="Q64" s="355">
        <v>75150</v>
      </c>
      <c r="AT64" s="361"/>
      <c r="AU64" s="361"/>
      <c r="AV64" s="1"/>
      <c r="AW64" s="1"/>
      <c r="AX64" s="1"/>
      <c r="AY64" s="1"/>
      <c r="AZ64" s="1"/>
      <c r="BA64" s="633"/>
      <c r="BB64" s="633"/>
      <c r="BC64" s="633"/>
      <c r="BD64" s="633"/>
      <c r="BE64" s="633"/>
      <c r="BF64" s="633"/>
      <c r="BG64" s="633"/>
      <c r="BH64" s="633"/>
      <c r="BI64" s="633"/>
      <c r="BJ64" s="633"/>
      <c r="BK64" s="633"/>
      <c r="BL64" s="632"/>
      <c r="BM64" s="632"/>
      <c r="BN64" s="632"/>
      <c r="BO64" s="632"/>
      <c r="BP64" s="632"/>
      <c r="BQ64" s="632"/>
      <c r="BR64" s="632"/>
    </row>
    <row r="65" spans="2:70">
      <c r="B65" s="668"/>
      <c r="D65" s="652">
        <v>64</v>
      </c>
      <c r="E65" s="653" t="s">
        <v>136</v>
      </c>
      <c r="F65" s="653" t="s">
        <v>137</v>
      </c>
      <c r="G65" s="361"/>
      <c r="H65" s="369"/>
      <c r="I65" s="369"/>
      <c r="J65" s="369"/>
      <c r="K65" s="369"/>
      <c r="M65" s="366">
        <v>64</v>
      </c>
      <c r="N65" s="355">
        <v>71510</v>
      </c>
      <c r="O65" s="355">
        <v>73270</v>
      </c>
      <c r="P65" s="355">
        <v>75150</v>
      </c>
      <c r="Q65" s="355">
        <v>77030</v>
      </c>
      <c r="AT65" s="361"/>
      <c r="AU65" s="361"/>
      <c r="AV65" s="1"/>
      <c r="AW65" s="1"/>
      <c r="AX65" s="1"/>
      <c r="AY65" s="1"/>
      <c r="AZ65" s="1"/>
      <c r="BA65" s="633"/>
      <c r="BB65" s="633"/>
      <c r="BC65" s="633"/>
      <c r="BD65" s="633"/>
      <c r="BE65" s="633"/>
      <c r="BF65" s="633"/>
      <c r="BG65" s="633"/>
      <c r="BH65" s="633"/>
      <c r="BI65" s="633"/>
      <c r="BJ65" s="633"/>
      <c r="BK65" s="633"/>
      <c r="BL65" s="632"/>
      <c r="BM65" s="632"/>
      <c r="BN65" s="632"/>
      <c r="BO65" s="632"/>
      <c r="BP65" s="632"/>
      <c r="BQ65" s="632"/>
      <c r="BR65" s="632"/>
    </row>
    <row r="66" spans="2:70">
      <c r="B66" s="668"/>
      <c r="D66" s="652">
        <v>65</v>
      </c>
      <c r="E66" s="653" t="s">
        <v>138</v>
      </c>
      <c r="F66" s="653" t="s">
        <v>139</v>
      </c>
      <c r="G66" s="361"/>
      <c r="H66" s="369"/>
      <c r="I66" s="369"/>
      <c r="J66" s="369"/>
      <c r="K66" s="369"/>
      <c r="M66" s="366">
        <v>65</v>
      </c>
      <c r="N66" s="355">
        <v>73270</v>
      </c>
      <c r="O66" s="355">
        <v>75150</v>
      </c>
      <c r="P66" s="355">
        <v>77030</v>
      </c>
      <c r="Q66" s="357">
        <v>78910</v>
      </c>
      <c r="AT66" s="361"/>
      <c r="AU66" s="361"/>
      <c r="AV66" s="1"/>
      <c r="AW66" s="1"/>
      <c r="AX66" s="1"/>
      <c r="AY66" s="1"/>
      <c r="AZ66" s="1"/>
      <c r="BA66" s="633"/>
      <c r="BB66" s="633"/>
      <c r="BC66" s="633"/>
      <c r="BD66" s="633"/>
      <c r="BE66" s="633"/>
      <c r="BF66" s="633"/>
      <c r="BG66" s="633"/>
      <c r="BH66" s="633"/>
      <c r="BI66" s="633"/>
      <c r="BJ66" s="633"/>
      <c r="BK66" s="633"/>
      <c r="BL66" s="632"/>
      <c r="BM66" s="632"/>
      <c r="BN66" s="632"/>
      <c r="BO66" s="632"/>
      <c r="BP66" s="632"/>
      <c r="BQ66" s="632"/>
      <c r="BR66" s="632"/>
    </row>
    <row r="67" spans="2:70">
      <c r="B67" s="668"/>
      <c r="D67" s="652">
        <v>66</v>
      </c>
      <c r="E67" s="653" t="s">
        <v>140</v>
      </c>
      <c r="F67" s="653" t="s">
        <v>141</v>
      </c>
      <c r="G67" s="361"/>
      <c r="H67" s="369"/>
      <c r="I67" s="369"/>
      <c r="J67" s="369"/>
      <c r="K67" s="369"/>
      <c r="M67" s="366">
        <v>66</v>
      </c>
      <c r="N67" s="355">
        <v>75150</v>
      </c>
      <c r="O67" s="355">
        <v>77030</v>
      </c>
      <c r="P67" s="357">
        <v>78910</v>
      </c>
      <c r="Q67" s="357">
        <v>80930</v>
      </c>
      <c r="AT67" s="361"/>
      <c r="AU67" s="361"/>
      <c r="AV67" s="1"/>
      <c r="AW67" s="1"/>
      <c r="AX67" s="1"/>
      <c r="AY67" s="1"/>
      <c r="AZ67" s="1"/>
      <c r="BA67" s="633"/>
      <c r="BB67" s="633"/>
      <c r="BC67" s="633"/>
      <c r="BD67" s="633"/>
      <c r="BE67" s="633"/>
      <c r="BF67" s="633"/>
      <c r="BG67" s="633"/>
      <c r="BH67" s="633"/>
      <c r="BI67" s="633"/>
      <c r="BJ67" s="633"/>
      <c r="BK67" s="633"/>
      <c r="BL67" s="632"/>
      <c r="BM67" s="632"/>
      <c r="BN67" s="632"/>
      <c r="BO67" s="632"/>
      <c r="BP67" s="632"/>
      <c r="BQ67" s="632"/>
      <c r="BR67" s="632"/>
    </row>
    <row r="68" spans="2:70">
      <c r="B68" s="668"/>
      <c r="D68" s="652">
        <v>67</v>
      </c>
      <c r="E68" s="653" t="s">
        <v>142</v>
      </c>
      <c r="F68" s="653" t="s">
        <v>143</v>
      </c>
      <c r="G68" s="361"/>
      <c r="H68" s="369"/>
      <c r="I68" s="369"/>
      <c r="J68" s="369"/>
      <c r="K68" s="369"/>
      <c r="M68" s="366">
        <v>67</v>
      </c>
      <c r="N68" s="355">
        <v>77030</v>
      </c>
      <c r="O68" s="357">
        <v>78910</v>
      </c>
      <c r="P68" s="357">
        <v>80930</v>
      </c>
      <c r="Q68" s="357">
        <v>82950</v>
      </c>
      <c r="AT68" s="361"/>
      <c r="AU68" s="361"/>
      <c r="AV68" s="1"/>
      <c r="AW68" s="1"/>
      <c r="AX68" s="1"/>
      <c r="AY68" s="1"/>
      <c r="AZ68" s="1"/>
      <c r="BA68" s="633"/>
      <c r="BB68" s="633"/>
      <c r="BC68" s="633"/>
      <c r="BD68" s="633"/>
      <c r="BE68" s="633"/>
      <c r="BF68" s="633"/>
      <c r="BG68" s="633"/>
      <c r="BH68" s="633"/>
      <c r="BI68" s="633"/>
      <c r="BJ68" s="633"/>
      <c r="BK68" s="633"/>
      <c r="BL68" s="632"/>
      <c r="BM68" s="632"/>
      <c r="BN68" s="632"/>
      <c r="BO68" s="632"/>
      <c r="BP68" s="632"/>
      <c r="BQ68" s="632"/>
      <c r="BR68" s="632"/>
    </row>
    <row r="69" spans="2:70">
      <c r="B69" s="668"/>
      <c r="D69" s="652">
        <v>68</v>
      </c>
      <c r="E69" s="653" t="s">
        <v>144</v>
      </c>
      <c r="F69" s="653" t="s">
        <v>145</v>
      </c>
      <c r="G69" s="361"/>
      <c r="H69" s="369"/>
      <c r="I69" s="369"/>
      <c r="J69" s="369"/>
      <c r="K69" s="369"/>
      <c r="M69" s="366">
        <v>68</v>
      </c>
      <c r="N69" s="357">
        <v>78910</v>
      </c>
      <c r="O69" s="357">
        <v>80930</v>
      </c>
      <c r="P69" s="357">
        <v>82950</v>
      </c>
      <c r="Q69" s="357">
        <v>84970</v>
      </c>
      <c r="AT69" s="361"/>
      <c r="AU69" s="361"/>
      <c r="AV69" s="1"/>
      <c r="AW69" s="1"/>
      <c r="AX69" s="1"/>
      <c r="AY69" s="1"/>
      <c r="AZ69" s="1"/>
      <c r="BA69" s="633"/>
      <c r="BB69" s="633"/>
      <c r="BC69" s="633"/>
      <c r="BD69" s="633"/>
      <c r="BE69" s="633"/>
      <c r="BF69" s="633"/>
      <c r="BG69" s="633"/>
      <c r="BH69" s="633"/>
      <c r="BI69" s="633"/>
      <c r="BJ69" s="633"/>
      <c r="BK69" s="633"/>
      <c r="BL69" s="632"/>
      <c r="BM69" s="632"/>
      <c r="BN69" s="632"/>
      <c r="BO69" s="632"/>
      <c r="BP69" s="632"/>
      <c r="BQ69" s="632"/>
      <c r="BR69" s="632"/>
    </row>
    <row r="70" spans="2:70">
      <c r="D70" s="652">
        <v>69</v>
      </c>
      <c r="E70" s="653" t="s">
        <v>146</v>
      </c>
      <c r="F70" s="653" t="s">
        <v>147</v>
      </c>
      <c r="G70" s="361"/>
      <c r="H70" s="369"/>
      <c r="I70" s="369"/>
      <c r="J70" s="369"/>
      <c r="K70" s="369"/>
      <c r="M70" s="366">
        <v>69</v>
      </c>
      <c r="N70" s="357">
        <v>80930</v>
      </c>
      <c r="O70" s="357">
        <v>82950</v>
      </c>
      <c r="P70" s="357">
        <v>84970</v>
      </c>
      <c r="Q70" s="358">
        <v>87130</v>
      </c>
      <c r="AT70" s="361"/>
      <c r="AU70" s="361"/>
    </row>
    <row r="71" spans="2:70">
      <c r="D71" s="652">
        <v>70</v>
      </c>
      <c r="E71" s="653" t="s">
        <v>148</v>
      </c>
      <c r="F71" s="653" t="s">
        <v>149</v>
      </c>
      <c r="G71" s="361"/>
      <c r="H71" s="369"/>
      <c r="I71" s="369"/>
      <c r="J71" s="369"/>
      <c r="K71" s="369"/>
      <c r="M71" s="366">
        <v>70</v>
      </c>
      <c r="N71" s="357">
        <v>82950</v>
      </c>
      <c r="O71" s="357">
        <v>84970</v>
      </c>
      <c r="P71" s="358">
        <v>87130</v>
      </c>
      <c r="Q71" s="358">
        <v>89290</v>
      </c>
      <c r="AT71" s="361"/>
      <c r="AU71" s="361"/>
    </row>
    <row r="72" spans="2:70">
      <c r="D72" s="652">
        <v>71</v>
      </c>
      <c r="E72" s="653" t="s">
        <v>150</v>
      </c>
      <c r="F72" s="653" t="s">
        <v>151</v>
      </c>
      <c r="G72" s="361"/>
      <c r="H72" s="369"/>
      <c r="I72" s="369"/>
      <c r="J72" s="369"/>
      <c r="K72" s="369"/>
      <c r="M72" s="366">
        <v>71</v>
      </c>
      <c r="N72" s="357">
        <v>84970</v>
      </c>
      <c r="O72" s="358">
        <v>87130</v>
      </c>
      <c r="P72" s="358">
        <v>89290</v>
      </c>
      <c r="Q72" s="358">
        <v>91450</v>
      </c>
      <c r="AT72" s="361"/>
      <c r="AU72" s="361"/>
    </row>
    <row r="73" spans="2:70">
      <c r="D73" s="652">
        <v>72</v>
      </c>
      <c r="E73" s="653" t="s">
        <v>152</v>
      </c>
      <c r="F73" s="653" t="s">
        <v>153</v>
      </c>
      <c r="G73" s="361"/>
      <c r="H73" s="369"/>
      <c r="I73" s="369"/>
      <c r="J73" s="369"/>
      <c r="K73" s="369"/>
      <c r="M73" s="366">
        <v>72</v>
      </c>
      <c r="N73" s="358">
        <v>87130</v>
      </c>
      <c r="O73" s="358">
        <v>89290</v>
      </c>
      <c r="P73" s="358">
        <v>91450</v>
      </c>
      <c r="Q73" s="358">
        <v>93780</v>
      </c>
      <c r="AT73" s="361"/>
      <c r="AU73" s="361"/>
    </row>
    <row r="74" spans="2:70">
      <c r="D74" s="652">
        <v>73</v>
      </c>
      <c r="E74" s="653" t="s">
        <v>154</v>
      </c>
      <c r="F74" s="653" t="s">
        <v>155</v>
      </c>
      <c r="G74" s="361"/>
      <c r="H74" s="369"/>
      <c r="I74" s="369"/>
      <c r="J74" s="369"/>
      <c r="K74" s="369"/>
      <c r="M74" s="366">
        <v>73</v>
      </c>
      <c r="N74" s="358">
        <v>89290</v>
      </c>
      <c r="O74" s="358">
        <v>91450</v>
      </c>
      <c r="P74" s="358">
        <v>93780</v>
      </c>
      <c r="Q74" s="358">
        <v>96110</v>
      </c>
      <c r="AT74" s="361"/>
      <c r="AU74" s="361"/>
    </row>
    <row r="75" spans="2:70">
      <c r="D75" s="652">
        <v>74</v>
      </c>
      <c r="E75" s="653" t="s">
        <v>156</v>
      </c>
      <c r="F75" s="653" t="s">
        <v>157</v>
      </c>
      <c r="G75" s="361"/>
      <c r="H75" s="369"/>
      <c r="I75" s="369"/>
      <c r="J75" s="369"/>
      <c r="K75" s="369"/>
      <c r="M75" s="366">
        <v>74</v>
      </c>
      <c r="N75" s="358">
        <v>91450</v>
      </c>
      <c r="O75" s="358">
        <v>93780</v>
      </c>
      <c r="P75" s="358">
        <v>96110</v>
      </c>
      <c r="Q75" s="358">
        <v>98440</v>
      </c>
      <c r="AT75" s="361"/>
      <c r="AU75" s="361"/>
    </row>
    <row r="76" spans="2:70">
      <c r="D76" s="652">
        <v>75</v>
      </c>
      <c r="E76" s="653" t="s">
        <v>158</v>
      </c>
      <c r="F76" s="653" t="s">
        <v>159</v>
      </c>
      <c r="G76" s="361"/>
      <c r="H76" s="369"/>
      <c r="I76" s="369"/>
      <c r="J76" s="369"/>
      <c r="K76" s="369"/>
      <c r="M76" s="366">
        <v>75</v>
      </c>
      <c r="N76" s="358">
        <v>93780</v>
      </c>
      <c r="O76" s="358">
        <v>96110</v>
      </c>
      <c r="P76" s="358">
        <v>98440</v>
      </c>
      <c r="Q76" s="358">
        <v>100770</v>
      </c>
      <c r="AT76" s="361"/>
      <c r="AU76" s="361"/>
    </row>
    <row r="77" spans="2:70">
      <c r="D77" s="652">
        <v>76</v>
      </c>
      <c r="E77" s="653" t="s">
        <v>160</v>
      </c>
      <c r="F77" s="653" t="s">
        <v>161</v>
      </c>
      <c r="G77" s="361"/>
      <c r="H77" s="369"/>
      <c r="I77" s="369"/>
      <c r="J77" s="369"/>
      <c r="K77" s="369"/>
      <c r="M77" s="366">
        <v>76</v>
      </c>
      <c r="N77" s="358">
        <v>96110</v>
      </c>
      <c r="O77" s="358">
        <v>98440</v>
      </c>
      <c r="P77" s="358">
        <v>100770</v>
      </c>
      <c r="Q77" s="358">
        <v>103290</v>
      </c>
      <c r="AT77" s="361"/>
      <c r="AU77" s="361"/>
    </row>
    <row r="78" spans="2:70">
      <c r="D78" s="652">
        <v>77</v>
      </c>
      <c r="E78" s="653" t="s">
        <v>162</v>
      </c>
      <c r="F78" s="653" t="s">
        <v>163</v>
      </c>
      <c r="G78" s="361"/>
      <c r="H78" s="369"/>
      <c r="I78" s="369"/>
      <c r="J78" s="369"/>
      <c r="K78" s="369"/>
      <c r="M78" s="366">
        <v>77</v>
      </c>
      <c r="N78" s="358">
        <v>98440</v>
      </c>
      <c r="O78" s="358">
        <v>100770</v>
      </c>
      <c r="P78" s="358">
        <v>103290</v>
      </c>
      <c r="Q78" s="355">
        <v>105810</v>
      </c>
      <c r="AT78" s="361"/>
      <c r="AU78" s="361"/>
    </row>
    <row r="79" spans="2:70">
      <c r="D79" s="652">
        <v>78</v>
      </c>
      <c r="E79" s="653" t="s">
        <v>164</v>
      </c>
      <c r="F79" s="653" t="s">
        <v>165</v>
      </c>
      <c r="G79" s="361"/>
      <c r="H79" s="369"/>
      <c r="I79" s="369"/>
      <c r="J79" s="369"/>
      <c r="K79" s="369"/>
      <c r="M79" s="366">
        <v>78</v>
      </c>
      <c r="N79" s="358">
        <v>100770</v>
      </c>
      <c r="O79" s="358">
        <v>103290</v>
      </c>
      <c r="P79" s="355">
        <v>105810</v>
      </c>
      <c r="Q79" s="355">
        <v>108330</v>
      </c>
      <c r="AT79" s="361"/>
      <c r="AU79" s="361"/>
    </row>
    <row r="80" spans="2:70">
      <c r="D80" s="652">
        <v>79</v>
      </c>
      <c r="E80" s="653" t="s">
        <v>166</v>
      </c>
      <c r="F80" s="653" t="s">
        <v>167</v>
      </c>
      <c r="G80" s="361"/>
      <c r="H80" s="369"/>
      <c r="I80" s="369"/>
      <c r="J80" s="369"/>
      <c r="K80" s="369"/>
      <c r="M80" s="366">
        <v>79</v>
      </c>
      <c r="N80" s="358">
        <v>103290</v>
      </c>
      <c r="O80" s="355">
        <v>105810</v>
      </c>
      <c r="P80" s="355">
        <v>108330</v>
      </c>
      <c r="Q80" s="355">
        <v>110850</v>
      </c>
      <c r="AT80" s="361"/>
      <c r="AU80" s="361"/>
    </row>
    <row r="81" spans="4:47">
      <c r="D81" s="652">
        <v>80</v>
      </c>
      <c r="E81" s="653" t="s">
        <v>168</v>
      </c>
      <c r="F81" s="653" t="s">
        <v>169</v>
      </c>
      <c r="G81" s="361"/>
      <c r="H81" s="369"/>
      <c r="I81" s="369"/>
      <c r="J81" s="369"/>
      <c r="K81" s="369"/>
      <c r="M81" s="366">
        <v>80</v>
      </c>
      <c r="N81" s="355">
        <v>105810</v>
      </c>
      <c r="O81" s="355">
        <v>108330</v>
      </c>
      <c r="P81" s="355">
        <v>110850</v>
      </c>
      <c r="Q81" s="355">
        <v>110850</v>
      </c>
      <c r="AT81" s="361"/>
      <c r="AU81" s="361"/>
    </row>
    <row r="82" spans="4:47">
      <c r="D82" s="652">
        <v>81</v>
      </c>
      <c r="E82" s="653" t="s">
        <v>170</v>
      </c>
      <c r="F82" s="653" t="s">
        <v>171</v>
      </c>
      <c r="G82" s="361"/>
      <c r="H82" s="369"/>
      <c r="I82" s="369"/>
      <c r="J82" s="369"/>
      <c r="K82" s="369"/>
      <c r="M82" s="366">
        <v>81</v>
      </c>
      <c r="N82" s="355">
        <v>108330</v>
      </c>
      <c r="O82" s="355">
        <v>110850</v>
      </c>
      <c r="P82" s="355">
        <v>110850</v>
      </c>
      <c r="Q82" s="355">
        <v>110850</v>
      </c>
      <c r="AT82" s="361"/>
      <c r="AU82" s="361"/>
    </row>
    <row r="83" spans="4:47">
      <c r="D83" s="652">
        <v>82</v>
      </c>
      <c r="E83" s="653" t="s">
        <v>172</v>
      </c>
      <c r="F83" s="653" t="s">
        <v>173</v>
      </c>
      <c r="G83" s="361"/>
      <c r="H83" s="369"/>
      <c r="I83" s="369"/>
      <c r="J83" s="369"/>
      <c r="K83" s="369"/>
      <c r="M83" s="366">
        <v>82</v>
      </c>
      <c r="N83" s="355">
        <v>110850</v>
      </c>
      <c r="O83" s="355">
        <v>110850</v>
      </c>
      <c r="P83" s="355">
        <v>110850</v>
      </c>
      <c r="Q83" s="11">
        <v>110850</v>
      </c>
      <c r="AT83" s="361"/>
      <c r="AU83" s="361"/>
    </row>
    <row r="84" spans="4:47">
      <c r="D84" s="652">
        <v>83</v>
      </c>
      <c r="E84" s="653" t="s">
        <v>174</v>
      </c>
      <c r="F84" s="653" t="s">
        <v>175</v>
      </c>
      <c r="G84" s="361"/>
      <c r="H84" s="369"/>
      <c r="I84" s="369"/>
      <c r="J84" s="369"/>
      <c r="K84" s="369"/>
      <c r="M84" s="2">
        <v>83</v>
      </c>
      <c r="N84" s="355">
        <v>110850</v>
      </c>
      <c r="O84" s="355">
        <v>110850</v>
      </c>
      <c r="P84" s="11">
        <v>110850</v>
      </c>
      <c r="Q84" s="11">
        <v>110850</v>
      </c>
      <c r="AT84" s="361"/>
      <c r="AU84" s="361"/>
    </row>
    <row r="85" spans="4:47">
      <c r="D85" s="652">
        <v>84</v>
      </c>
      <c r="E85" s="653" t="s">
        <v>176</v>
      </c>
      <c r="F85" s="653" t="s">
        <v>177</v>
      </c>
      <c r="G85" s="361"/>
      <c r="H85" s="369"/>
      <c r="I85" s="369"/>
      <c r="J85" s="369"/>
      <c r="K85" s="369"/>
      <c r="AT85" s="361"/>
      <c r="AU85" s="361"/>
    </row>
    <row r="86" spans="4:47">
      <c r="D86" s="652">
        <v>85</v>
      </c>
      <c r="E86" s="653" t="s">
        <v>178</v>
      </c>
      <c r="F86" s="653" t="s">
        <v>179</v>
      </c>
      <c r="G86" s="361"/>
      <c r="H86" s="369"/>
      <c r="I86" s="369"/>
      <c r="J86" s="369"/>
      <c r="K86" s="369"/>
      <c r="AT86" s="361"/>
      <c r="AU86" s="361"/>
    </row>
    <row r="87" spans="4:47">
      <c r="D87" s="652">
        <v>86</v>
      </c>
      <c r="E87" s="653" t="s">
        <v>180</v>
      </c>
      <c r="F87" s="653" t="s">
        <v>181</v>
      </c>
      <c r="G87" s="361"/>
      <c r="H87" s="369"/>
      <c r="I87" s="369"/>
      <c r="J87" s="369"/>
      <c r="K87" s="369"/>
      <c r="AT87" s="361"/>
      <c r="AU87" s="361"/>
    </row>
    <row r="88" spans="4:47">
      <c r="D88" s="652">
        <v>87</v>
      </c>
      <c r="E88" s="653" t="s">
        <v>182</v>
      </c>
      <c r="F88" s="653" t="s">
        <v>183</v>
      </c>
      <c r="G88" s="361"/>
      <c r="H88" s="369"/>
      <c r="I88" s="369"/>
      <c r="J88" s="369"/>
      <c r="K88" s="369"/>
      <c r="AT88" s="361"/>
      <c r="AU88" s="361"/>
    </row>
    <row r="89" spans="4:47">
      <c r="D89" s="652">
        <v>88</v>
      </c>
      <c r="E89" s="653" t="s">
        <v>184</v>
      </c>
      <c r="F89" s="653" t="s">
        <v>185</v>
      </c>
      <c r="G89" s="361"/>
      <c r="H89" s="369"/>
      <c r="I89" s="369"/>
      <c r="J89" s="369"/>
      <c r="K89" s="369"/>
      <c r="AT89" s="361"/>
      <c r="AU89" s="361"/>
    </row>
    <row r="90" spans="4:47">
      <c r="D90" s="652">
        <v>89</v>
      </c>
      <c r="E90" s="653" t="s">
        <v>186</v>
      </c>
      <c r="F90" s="653" t="s">
        <v>187</v>
      </c>
      <c r="G90" s="361"/>
      <c r="H90" s="369"/>
      <c r="I90" s="369"/>
      <c r="J90" s="369"/>
      <c r="K90" s="369"/>
      <c r="AT90" s="361"/>
      <c r="AU90" s="361"/>
    </row>
    <row r="91" spans="4:47">
      <c r="D91" s="652">
        <v>90</v>
      </c>
      <c r="E91" s="653" t="s">
        <v>188</v>
      </c>
      <c r="F91" s="653" t="s">
        <v>189</v>
      </c>
      <c r="G91" s="361"/>
      <c r="H91" s="369"/>
      <c r="I91" s="369"/>
      <c r="J91" s="369"/>
      <c r="K91" s="369"/>
      <c r="AT91" s="361"/>
      <c r="AU91" s="361"/>
    </row>
    <row r="92" spans="4:47">
      <c r="D92" s="652">
        <v>91</v>
      </c>
      <c r="E92" s="653" t="s">
        <v>190</v>
      </c>
      <c r="F92" s="653" t="s">
        <v>191</v>
      </c>
      <c r="G92" s="361"/>
      <c r="H92" s="369"/>
      <c r="I92" s="369"/>
      <c r="J92" s="369"/>
      <c r="K92" s="369"/>
      <c r="AT92" s="361"/>
      <c r="AU92" s="361"/>
    </row>
    <row r="93" spans="4:47">
      <c r="D93" s="652">
        <v>92</v>
      </c>
      <c r="E93" s="653" t="s">
        <v>192</v>
      </c>
      <c r="F93" s="653" t="s">
        <v>193</v>
      </c>
      <c r="G93" s="361"/>
      <c r="H93" s="369"/>
      <c r="I93" s="369"/>
      <c r="J93" s="369"/>
      <c r="K93" s="369"/>
      <c r="AT93" s="361"/>
      <c r="AU93" s="361"/>
    </row>
    <row r="94" spans="4:47">
      <c r="D94" s="652">
        <v>93</v>
      </c>
      <c r="E94" s="653" t="s">
        <v>194</v>
      </c>
      <c r="F94" s="653" t="s">
        <v>195</v>
      </c>
      <c r="G94" s="361"/>
      <c r="H94" s="369"/>
      <c r="I94" s="369"/>
      <c r="J94" s="369"/>
      <c r="K94" s="369"/>
      <c r="AT94" s="361"/>
      <c r="AU94" s="361"/>
    </row>
    <row r="95" spans="4:47">
      <c r="D95" s="652">
        <v>94</v>
      </c>
      <c r="E95" s="653" t="s">
        <v>196</v>
      </c>
      <c r="F95" s="653" t="s">
        <v>197</v>
      </c>
      <c r="G95" s="361"/>
      <c r="H95" s="369"/>
      <c r="I95" s="369"/>
      <c r="J95" s="369"/>
      <c r="K95" s="369"/>
      <c r="AT95" s="361"/>
      <c r="AU95" s="361"/>
    </row>
    <row r="96" spans="4:47">
      <c r="D96" s="652">
        <v>95</v>
      </c>
      <c r="E96" s="653" t="s">
        <v>198</v>
      </c>
      <c r="F96" s="653" t="s">
        <v>199</v>
      </c>
      <c r="G96" s="361"/>
      <c r="H96" s="369"/>
      <c r="I96" s="369"/>
      <c r="J96" s="369"/>
      <c r="K96" s="369"/>
      <c r="AT96" s="361"/>
      <c r="AU96" s="361"/>
    </row>
    <row r="97" spans="4:47">
      <c r="D97" s="652">
        <v>96</v>
      </c>
      <c r="E97" s="653" t="s">
        <v>200</v>
      </c>
      <c r="F97" s="653" t="s">
        <v>201</v>
      </c>
      <c r="G97" s="361"/>
      <c r="H97" s="369"/>
      <c r="I97" s="369"/>
      <c r="J97" s="369"/>
      <c r="K97" s="369"/>
      <c r="AT97" s="361"/>
      <c r="AU97" s="361"/>
    </row>
    <row r="98" spans="4:47">
      <c r="D98" s="652">
        <v>97</v>
      </c>
      <c r="E98" s="653" t="s">
        <v>202</v>
      </c>
      <c r="F98" s="653" t="s">
        <v>203</v>
      </c>
      <c r="G98" s="361"/>
      <c r="H98" s="369"/>
      <c r="I98" s="369"/>
      <c r="J98" s="369"/>
      <c r="K98" s="369"/>
      <c r="AT98" s="361"/>
      <c r="AU98" s="361"/>
    </row>
    <row r="99" spans="4:47">
      <c r="D99" s="652">
        <v>98</v>
      </c>
      <c r="E99" s="653" t="s">
        <v>204</v>
      </c>
      <c r="F99" s="653" t="s">
        <v>205</v>
      </c>
      <c r="G99" s="361"/>
      <c r="H99" s="369"/>
      <c r="I99" s="369"/>
      <c r="J99" s="369"/>
      <c r="K99" s="369"/>
      <c r="AT99" s="361"/>
      <c r="AU99" s="361"/>
    </row>
    <row r="100" spans="4:47">
      <c r="D100" s="652">
        <v>99</v>
      </c>
      <c r="E100" s="653" t="s">
        <v>206</v>
      </c>
      <c r="F100" s="653" t="s">
        <v>207</v>
      </c>
      <c r="G100" s="361"/>
      <c r="H100" s="369"/>
      <c r="I100" s="369"/>
      <c r="J100" s="369"/>
      <c r="K100" s="369"/>
      <c r="AT100" s="361"/>
      <c r="AU100" s="361"/>
    </row>
  </sheetData>
  <sheetProtection password="C6B1" sheet="1" objects="1" scenarios="1" selectLockedCells="1" selectUnlockedCells="1"/>
  <mergeCells count="10">
    <mergeCell ref="AQ1:AR1"/>
    <mergeCell ref="D1:F1"/>
    <mergeCell ref="H35:K36"/>
    <mergeCell ref="H14:K15"/>
    <mergeCell ref="H20:K22"/>
    <mergeCell ref="AB1:AC1"/>
    <mergeCell ref="AH1:AI1"/>
    <mergeCell ref="AB18:AC18"/>
    <mergeCell ref="AH18:AI18"/>
    <mergeCell ref="AL1:AM1"/>
  </mergeCells>
  <conditionalFormatting sqref="BM15:BM16 BR38 BP2:BQ2">
    <cfRule type="expression" dxfId="21" priority="1">
      <formula>#REF!=""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  <pageSetUpPr fitToPage="1"/>
  </sheetPr>
  <dimension ref="A1:BT101"/>
  <sheetViews>
    <sheetView showGridLines="0" showRowColHeaders="0" zoomScaleNormal="100" zoomScaleSheetLayoutView="100" workbookViewId="0">
      <pane ySplit="2" topLeftCell="A24" activePane="bottomLeft" state="frozen"/>
      <selection activeCell="B72" sqref="B72:J72"/>
      <selection pane="bottomLeft" activeCell="AA19" sqref="AA19:AK19"/>
    </sheetView>
  </sheetViews>
  <sheetFormatPr defaultColWidth="9.140625" defaultRowHeight="15"/>
  <cols>
    <col min="1" max="1" width="1.28515625" style="1" customWidth="1" collapsed="1"/>
    <col min="2" max="2" width="11.7109375" style="1" hidden="1" customWidth="1" collapsed="1"/>
    <col min="3" max="4" width="6.7109375" style="1" hidden="1" customWidth="1" collapsed="1"/>
    <col min="5" max="6" width="8.5703125" style="1" hidden="1" customWidth="1" collapsed="1"/>
    <col min="7" max="7" width="1.7109375" style="1" hidden="1" customWidth="1" collapsed="1"/>
    <col min="8" max="12" width="6.7109375" style="1" hidden="1" customWidth="1" collapsed="1"/>
    <col min="13" max="13" width="1.7109375" style="1" hidden="1" customWidth="1" collapsed="1"/>
    <col min="14" max="18" width="6.7109375" style="1" hidden="1" customWidth="1" collapsed="1"/>
    <col min="19" max="19" width="1.7109375" style="1" hidden="1" customWidth="1" collapsed="1"/>
    <col min="20" max="20" width="1.7109375" style="1" hidden="1" customWidth="1"/>
    <col min="21" max="23" width="10.28515625" style="1" customWidth="1" collapsed="1"/>
    <col min="24" max="24" width="11.28515625" style="1" customWidth="1" collapsed="1"/>
    <col min="25" max="26" width="1.7109375" style="1" customWidth="1" collapsed="1"/>
    <col min="27" max="27" width="18.7109375" style="1" customWidth="1" collapsed="1"/>
    <col min="28" max="28" width="6.85546875" style="1" hidden="1" customWidth="1" collapsed="1"/>
    <col min="29" max="29" width="8.28515625" style="1" customWidth="1" collapsed="1"/>
    <col min="30" max="30" width="6.85546875" style="1" hidden="1" customWidth="1" collapsed="1"/>
    <col min="31" max="31" width="8.28515625" style="1" customWidth="1" collapsed="1"/>
    <col min="32" max="32" width="1.7109375" style="1" customWidth="1" collapsed="1"/>
    <col min="33" max="33" width="18.7109375" style="1" customWidth="1" collapsed="1"/>
    <col min="34" max="34" width="6.85546875" style="1" hidden="1" customWidth="1" collapsed="1"/>
    <col min="35" max="35" width="8.28515625" style="1" customWidth="1" collapsed="1"/>
    <col min="36" max="36" width="6.85546875" style="1" hidden="1" customWidth="1" collapsed="1"/>
    <col min="37" max="37" width="8.28515625" style="1" customWidth="1" collapsed="1"/>
    <col min="38" max="38" width="1.7109375" style="1" customWidth="1" collapsed="1"/>
    <col min="39" max="72" width="9.140625" style="1"/>
    <col min="73" max="16384" width="9.140625" style="1" collapsed="1"/>
  </cols>
  <sheetData>
    <row r="1" spans="1:38" ht="6" customHeight="1" thickBot="1"/>
    <row r="2" spans="1:38" ht="24.95" customHeight="1" thickTop="1">
      <c r="A2" s="104"/>
      <c r="B2" s="403" t="s">
        <v>433</v>
      </c>
      <c r="C2" s="165" t="s">
        <v>493</v>
      </c>
      <c r="D2" s="164" t="s">
        <v>494</v>
      </c>
      <c r="E2" s="164" t="s">
        <v>681</v>
      </c>
      <c r="F2" s="404" t="s">
        <v>260</v>
      </c>
      <c r="G2" s="104"/>
      <c r="H2" s="454" t="s">
        <v>733</v>
      </c>
      <c r="I2" s="454" t="s">
        <v>734</v>
      </c>
      <c r="J2" s="457" t="s">
        <v>735</v>
      </c>
      <c r="K2" s="457" t="s">
        <v>736</v>
      </c>
      <c r="L2" s="457" t="s">
        <v>737</v>
      </c>
      <c r="M2" s="452"/>
      <c r="N2" s="454" t="s">
        <v>738</v>
      </c>
      <c r="O2" s="454" t="s">
        <v>733</v>
      </c>
      <c r="P2" s="457" t="s">
        <v>739</v>
      </c>
      <c r="Q2" s="457" t="s">
        <v>740</v>
      </c>
      <c r="R2" s="457" t="s">
        <v>741</v>
      </c>
      <c r="S2" s="359"/>
      <c r="T2" s="359"/>
      <c r="U2" s="1430" t="s">
        <v>725</v>
      </c>
      <c r="V2" s="1431"/>
      <c r="W2" s="1431"/>
      <c r="X2" s="1432"/>
      <c r="Y2" s="104"/>
      <c r="Z2" s="481"/>
      <c r="AA2" s="1456" t="s">
        <v>713</v>
      </c>
      <c r="AB2" s="1456"/>
      <c r="AC2" s="1456"/>
      <c r="AD2" s="1456"/>
      <c r="AE2" s="1456"/>
      <c r="AF2" s="1456"/>
      <c r="AG2" s="1456"/>
      <c r="AH2" s="1456"/>
      <c r="AI2" s="1456"/>
      <c r="AJ2" s="1456"/>
      <c r="AK2" s="1456"/>
      <c r="AL2" s="482"/>
    </row>
    <row r="3" spans="1:38" ht="5.0999999999999996" customHeight="1">
      <c r="A3" s="104"/>
      <c r="B3" s="403"/>
      <c r="C3" s="165"/>
      <c r="D3" s="164"/>
      <c r="E3" s="164"/>
      <c r="F3" s="404"/>
      <c r="G3" s="104"/>
      <c r="H3" s="454"/>
      <c r="I3" s="454"/>
      <c r="J3" s="457"/>
      <c r="K3" s="457"/>
      <c r="L3" s="457"/>
      <c r="M3" s="452"/>
      <c r="N3" s="454"/>
      <c r="O3" s="454"/>
      <c r="P3" s="457"/>
      <c r="Q3" s="457"/>
      <c r="R3" s="457"/>
      <c r="S3" s="359"/>
      <c r="T3" s="359"/>
      <c r="U3" s="763"/>
      <c r="V3" s="764"/>
      <c r="W3" s="764"/>
      <c r="X3" s="765"/>
      <c r="Y3" s="104"/>
      <c r="Z3" s="766"/>
      <c r="AA3" s="767"/>
      <c r="AB3" s="767"/>
      <c r="AC3" s="767"/>
      <c r="AD3" s="767"/>
      <c r="AE3" s="767"/>
      <c r="AF3" s="768"/>
      <c r="AG3" s="768"/>
      <c r="AH3" s="767"/>
      <c r="AI3" s="767"/>
      <c r="AJ3" s="767"/>
      <c r="AK3" s="768"/>
      <c r="AL3" s="769"/>
    </row>
    <row r="4" spans="1:38" ht="15" customHeight="1">
      <c r="B4" s="406">
        <v>42736</v>
      </c>
      <c r="C4" s="407">
        <f t="shared" ref="C4:C15" si="0">DAY(DATE(YEAR(B4),MONTH(B4)+1,1)-1)</f>
        <v>31</v>
      </c>
      <c r="D4" s="408">
        <f>IF(D14=B4,DAY(DATE(YEAR(B4),MONTH(B4)+1,1)-1)-DATA!B22,
  IF(D15=B4,DAY(DATE(YEAR(B4),MONTH(B4)+1,1)-1)-DATA!B23,
DAY(DATE(YEAR(B4),MONTH(B4)+1,1)-1)))</f>
        <v>31</v>
      </c>
      <c r="E4" s="407">
        <f>PRO!Z26</f>
        <v>38130</v>
      </c>
      <c r="F4" s="409">
        <f>ROUND(E4/C4*D4,0)</f>
        <v>38130</v>
      </c>
      <c r="H4" s="455">
        <f>ROUND(F4*24.104%,0)</f>
        <v>9191</v>
      </c>
      <c r="I4" s="455">
        <f>ROUND(F4*22.008%,0)</f>
        <v>8392</v>
      </c>
      <c r="J4" s="455">
        <f>H4-I4</f>
        <v>799</v>
      </c>
      <c r="K4" s="455">
        <f>ROUND((F4+H4)/10,0)-ROUND((F4+I4)/10,0)</f>
        <v>80</v>
      </c>
      <c r="L4" s="455">
        <f>J4-K4</f>
        <v>719</v>
      </c>
      <c r="N4" s="460"/>
      <c r="O4" s="460"/>
      <c r="P4" s="460"/>
      <c r="Q4" s="460"/>
      <c r="R4" s="460"/>
      <c r="S4" s="6"/>
      <c r="T4" s="6"/>
      <c r="U4" s="1444" t="s">
        <v>726</v>
      </c>
      <c r="V4" s="1445"/>
      <c r="W4" s="1445"/>
      <c r="X4" s="1446"/>
      <c r="Z4" s="483"/>
      <c r="AA4" s="1458" t="s">
        <v>700</v>
      </c>
      <c r="AB4" s="1461" t="s">
        <v>697</v>
      </c>
      <c r="AC4" s="1461"/>
      <c r="AD4" s="1461" t="s">
        <v>695</v>
      </c>
      <c r="AE4" s="1461"/>
      <c r="AF4" s="15"/>
      <c r="AG4" s="1462" t="s">
        <v>699</v>
      </c>
      <c r="AH4" s="451" t="s">
        <v>697</v>
      </c>
      <c r="AI4" s="1457" t="s">
        <v>697</v>
      </c>
      <c r="AJ4" s="1457"/>
      <c r="AK4" s="1460" t="s">
        <v>708</v>
      </c>
      <c r="AL4" s="484"/>
    </row>
    <row r="5" spans="1:38" ht="15" customHeight="1">
      <c r="B5" s="406">
        <v>42767</v>
      </c>
      <c r="C5" s="407">
        <f t="shared" si="0"/>
        <v>28</v>
      </c>
      <c r="D5" s="408">
        <f>IF(D15=B5,DAY(DATE(YEAR(B5),MONTH(B5)+1,1)-1)-DATA!B22,
  IF(DATA!F22=B5,DAY(DATE(YEAR(B5),MONTH(B5)+1,1)-1)-DATA!B23,
DAY(DATE(YEAR(B5),MONTH(B5)+1,1)-1)))</f>
        <v>28</v>
      </c>
      <c r="E5" s="407">
        <f>PRO!Z27</f>
        <v>38130</v>
      </c>
      <c r="F5" s="409">
        <f>ROUND(E5/C5*D5,0)</f>
        <v>38130</v>
      </c>
      <c r="H5" s="455">
        <f t="shared" ref="H5:H16" si="1">ROUND(F5*24.104%,0)</f>
        <v>9191</v>
      </c>
      <c r="I5" s="455">
        <f t="shared" ref="I5:I16" si="2">ROUND(F5*22.008%,0)</f>
        <v>8392</v>
      </c>
      <c r="J5" s="455">
        <f t="shared" ref="J5:J19" si="3">H5-I5</f>
        <v>799</v>
      </c>
      <c r="K5" s="455">
        <f t="shared" ref="K5:K15" si="4">ROUND((F5+H5)/10,0)-ROUND((F5+I5)/10,0)</f>
        <v>80</v>
      </c>
      <c r="L5" s="455">
        <f t="shared" ref="L5:L19" si="5">J5-K5</f>
        <v>719</v>
      </c>
      <c r="N5" s="460"/>
      <c r="O5" s="460"/>
      <c r="P5" s="460"/>
      <c r="Q5" s="460"/>
      <c r="R5" s="460"/>
      <c r="S5" s="6"/>
      <c r="T5" s="6"/>
      <c r="U5" s="1447" t="s">
        <v>730</v>
      </c>
      <c r="V5" s="1448"/>
      <c r="W5" s="1448"/>
      <c r="X5" s="1449"/>
      <c r="Z5" s="483"/>
      <c r="AA5" s="1459"/>
      <c r="AB5" s="1457"/>
      <c r="AC5" s="1457"/>
      <c r="AD5" s="1457"/>
      <c r="AE5" s="1457"/>
      <c r="AF5" s="15"/>
      <c r="AG5" s="1458"/>
      <c r="AH5" s="451"/>
      <c r="AI5" s="1457"/>
      <c r="AJ5" s="1457"/>
      <c r="AK5" s="1461"/>
      <c r="AL5" s="484"/>
    </row>
    <row r="6" spans="1:38" ht="15.95" customHeight="1">
      <c r="A6" s="19"/>
      <c r="B6" s="398">
        <v>42795</v>
      </c>
      <c r="C6" s="399">
        <f t="shared" si="0"/>
        <v>31</v>
      </c>
      <c r="D6" s="400">
        <f>IF(DATA!F22=B6,DAY(DATE(YEAR(B6),MONTH(B6)+1,1)-1)-DATA!B22,
  IF(DATA!F23=B6,DAY(DATE(YEAR(B6),MONTH(B6)+1,1)-1)-DATA!B23,
DAY(DATE(YEAR(B6),MONTH(B6)+1,1)-1)))</f>
        <v>31</v>
      </c>
      <c r="E6" s="399">
        <f>PRO!Z28</f>
        <v>38130</v>
      </c>
      <c r="F6" s="401">
        <f>ROUND(E6/C6*D6,0)</f>
        <v>38130</v>
      </c>
      <c r="G6" s="19"/>
      <c r="H6" s="456">
        <f t="shared" si="1"/>
        <v>9191</v>
      </c>
      <c r="I6" s="456">
        <f t="shared" si="2"/>
        <v>8392</v>
      </c>
      <c r="J6" s="456">
        <f t="shared" si="3"/>
        <v>799</v>
      </c>
      <c r="K6" s="456">
        <f t="shared" si="4"/>
        <v>80</v>
      </c>
      <c r="L6" s="456">
        <f t="shared" si="5"/>
        <v>719</v>
      </c>
      <c r="M6" s="19"/>
      <c r="N6" s="460"/>
      <c r="O6" s="460"/>
      <c r="P6" s="460"/>
      <c r="Q6" s="460"/>
      <c r="R6" s="460"/>
      <c r="S6" s="6"/>
      <c r="T6" s="6"/>
      <c r="U6" s="1450" t="s">
        <v>729</v>
      </c>
      <c r="V6" s="1451"/>
      <c r="W6" s="1451"/>
      <c r="X6" s="1452"/>
      <c r="Y6" s="19"/>
      <c r="Z6" s="485"/>
      <c r="AA6" s="442" t="s">
        <v>696</v>
      </c>
      <c r="AB6" s="437"/>
      <c r="AC6" s="438">
        <f>IF('ANNEXURE II'!I51&gt;=0,'ANNEXURE II'!I51-W13-W14-W15,0)</f>
        <v>423073</v>
      </c>
      <c r="AD6" s="439"/>
      <c r="AE6" s="438">
        <f>AC6</f>
        <v>423073</v>
      </c>
      <c r="AF6" s="19"/>
      <c r="AG6" s="442" t="s">
        <v>696</v>
      </c>
      <c r="AH6" s="440"/>
      <c r="AI6" s="439">
        <f>V13</f>
        <v>269390</v>
      </c>
      <c r="AJ6" s="439"/>
      <c r="AK6" s="438">
        <f>AI6</f>
        <v>269390</v>
      </c>
      <c r="AL6" s="486"/>
    </row>
    <row r="7" spans="1:38" ht="15.95" customHeight="1">
      <c r="A7" s="383"/>
      <c r="B7" s="398">
        <v>42826</v>
      </c>
      <c r="C7" s="399">
        <f t="shared" si="0"/>
        <v>30</v>
      </c>
      <c r="D7" s="400">
        <f>IF(DATA!F22=B7,DAY(DATE(YEAR(B7),MONTH(B7)+1,1)-1)-DATA!B22,
  IF(DATA!F23=B7,DAY(DATE(YEAR(B7),MONTH(B7)+1,1)-1)-DATA!B23,
DAY(DATE(YEAR(B7),MONTH(B7)+1,1)-1)))</f>
        <v>30</v>
      </c>
      <c r="E7" s="399">
        <f>PRO!Z29</f>
        <v>38130</v>
      </c>
      <c r="F7" s="401">
        <f>ROUND(E7/C7*D7,0)</f>
        <v>38130</v>
      </c>
      <c r="G7" s="383"/>
      <c r="H7" s="456">
        <f t="shared" si="1"/>
        <v>9191</v>
      </c>
      <c r="I7" s="456">
        <f t="shared" si="2"/>
        <v>8392</v>
      </c>
      <c r="J7" s="456">
        <f t="shared" si="3"/>
        <v>799</v>
      </c>
      <c r="K7" s="456">
        <f t="shared" si="4"/>
        <v>80</v>
      </c>
      <c r="L7" s="456">
        <f t="shared" si="5"/>
        <v>719</v>
      </c>
      <c r="M7" s="383"/>
      <c r="N7" s="460"/>
      <c r="O7" s="460"/>
      <c r="P7" s="460"/>
      <c r="Q7" s="460"/>
      <c r="R7" s="460"/>
      <c r="S7" s="6"/>
      <c r="T7" s="6"/>
      <c r="U7" s="1450" t="s">
        <v>731</v>
      </c>
      <c r="V7" s="1451"/>
      <c r="W7" s="1451"/>
      <c r="X7" s="1452"/>
      <c r="Y7" s="383"/>
      <c r="Z7" s="487"/>
      <c r="AA7" s="421" t="s">
        <v>715</v>
      </c>
      <c r="AB7" s="431"/>
      <c r="AC7" s="432">
        <f>W13+W14+W15</f>
        <v>88697</v>
      </c>
      <c r="AD7" s="433"/>
      <c r="AE7" s="434">
        <v>0</v>
      </c>
      <c r="AF7" s="15"/>
      <c r="AG7" s="421" t="s">
        <v>717</v>
      </c>
      <c r="AH7" s="431"/>
      <c r="AI7" s="432">
        <f>W13</f>
        <v>72446</v>
      </c>
      <c r="AJ7" s="433"/>
      <c r="AK7" s="434">
        <v>0</v>
      </c>
      <c r="AL7" s="488"/>
    </row>
    <row r="8" spans="1:38" ht="15.95" customHeight="1" thickBot="1">
      <c r="A8" s="383"/>
      <c r="B8" s="398">
        <v>42856</v>
      </c>
      <c r="C8" s="399">
        <f t="shared" si="0"/>
        <v>31</v>
      </c>
      <c r="D8" s="400">
        <f>IF(DATA!F22=B8,DAY(DATE(YEAR(B8),MONTH(B8)+1,1)-1)-DATA!B22,
  IF(DATA!F23=B8,DAY(DATE(YEAR(B8),MONTH(B8)+1,1)-1)-DATA!B23,
DAY(DATE(YEAR(B8),MONTH(B8)+1,1)-1)))</f>
        <v>31</v>
      </c>
      <c r="E8" s="399">
        <f>PRO!Z30</f>
        <v>38130</v>
      </c>
      <c r="F8" s="401">
        <f>ROUND(E8/C8*D8,0)</f>
        <v>38130</v>
      </c>
      <c r="G8" s="383"/>
      <c r="H8" s="456">
        <f t="shared" si="1"/>
        <v>9191</v>
      </c>
      <c r="I8" s="456">
        <f t="shared" si="2"/>
        <v>8392</v>
      </c>
      <c r="J8" s="456">
        <f t="shared" si="3"/>
        <v>799</v>
      </c>
      <c r="K8" s="456">
        <f t="shared" si="4"/>
        <v>80</v>
      </c>
      <c r="L8" s="456">
        <f t="shared" si="5"/>
        <v>719</v>
      </c>
      <c r="M8" s="383"/>
      <c r="N8" s="460"/>
      <c r="O8" s="460"/>
      <c r="P8" s="460"/>
      <c r="Q8" s="460"/>
      <c r="R8" s="460"/>
      <c r="S8" s="6"/>
      <c r="T8" s="6"/>
      <c r="U8" s="1453" t="s">
        <v>732</v>
      </c>
      <c r="V8" s="1454"/>
      <c r="W8" s="1454"/>
      <c r="X8" s="1455"/>
      <c r="Y8" s="383"/>
      <c r="Z8" s="487"/>
      <c r="AA8" s="441" t="s">
        <v>247</v>
      </c>
      <c r="AB8" s="413"/>
      <c r="AC8" s="576">
        <f>AC6+AC7</f>
        <v>511770</v>
      </c>
      <c r="AD8" s="420"/>
      <c r="AE8" s="419">
        <f>AE6+AE7</f>
        <v>423073</v>
      </c>
      <c r="AF8" s="15"/>
      <c r="AG8" s="441" t="s">
        <v>247</v>
      </c>
      <c r="AH8" s="413"/>
      <c r="AI8" s="419">
        <f>AI6+AI7</f>
        <v>341836</v>
      </c>
      <c r="AJ8" s="420"/>
      <c r="AK8" s="419">
        <f>AK6+AK7</f>
        <v>269390</v>
      </c>
      <c r="AL8" s="488"/>
    </row>
    <row r="9" spans="1:38" ht="15.95" customHeight="1" thickTop="1" thickBot="1">
      <c r="A9" s="383"/>
      <c r="B9" s="398">
        <v>42887</v>
      </c>
      <c r="C9" s="399">
        <f t="shared" si="0"/>
        <v>30</v>
      </c>
      <c r="D9" s="400">
        <f>IF(DATA!F22=B9,DAY(DATE(YEAR(B9),MONTH(B9)+1,1)-1)-DATA!B22,
  IF(DATA!F23=B9,DAY(DATE(YEAR(B9),MONTH(B9)+1,1)-1)-DATA!B23,
DAY(DATE(YEAR(B9),MONTH(B9)+1,1)-1)))</f>
        <v>30</v>
      </c>
      <c r="E9" s="399">
        <f>PRO!Z31</f>
        <v>38130</v>
      </c>
      <c r="F9" s="401">
        <f t="shared" ref="F9:F15" si="6">ROUND(E9/C9*D9,0)</f>
        <v>38130</v>
      </c>
      <c r="G9" s="383"/>
      <c r="H9" s="456">
        <f t="shared" si="1"/>
        <v>9191</v>
      </c>
      <c r="I9" s="456">
        <f t="shared" si="2"/>
        <v>8392</v>
      </c>
      <c r="J9" s="456">
        <f t="shared" si="3"/>
        <v>799</v>
      </c>
      <c r="K9" s="456">
        <f t="shared" si="4"/>
        <v>80</v>
      </c>
      <c r="L9" s="456">
        <f t="shared" si="5"/>
        <v>719</v>
      </c>
      <c r="M9" s="383"/>
      <c r="N9" s="460"/>
      <c r="O9" s="460"/>
      <c r="P9" s="460"/>
      <c r="Q9" s="460"/>
      <c r="R9" s="460"/>
      <c r="S9" s="6"/>
      <c r="T9" s="6"/>
      <c r="U9" s="461"/>
      <c r="V9" s="461"/>
      <c r="W9" s="461"/>
      <c r="X9" s="461"/>
      <c r="Y9" s="383"/>
      <c r="Z9" s="487"/>
      <c r="AA9" s="441" t="s">
        <v>692</v>
      </c>
      <c r="AB9" s="412">
        <f>IF(AND(AC8&lt;=250000),0,250000)</f>
        <v>250000</v>
      </c>
      <c r="AC9" s="419">
        <f>ROUND(AB9*0%,0)</f>
        <v>0</v>
      </c>
      <c r="AD9" s="419">
        <f>IF(AND(AE6&lt;=250000),0,250000)</f>
        <v>250000</v>
      </c>
      <c r="AE9" s="419">
        <f>ROUND(AD9*0%,0)</f>
        <v>0</v>
      </c>
      <c r="AF9" s="383"/>
      <c r="AG9" s="441" t="s">
        <v>692</v>
      </c>
      <c r="AH9" s="412">
        <f>IF(AND(AI8&lt;=250000),0,250000)</f>
        <v>250000</v>
      </c>
      <c r="AI9" s="419">
        <f>ROUND(AH9*0%,0)</f>
        <v>0</v>
      </c>
      <c r="AJ9" s="419">
        <f>IF(AND(AK6&lt;=250000),0,250000)</f>
        <v>250000</v>
      </c>
      <c r="AK9" s="419">
        <f>ROUND(AJ9*0%,0)</f>
        <v>0</v>
      </c>
      <c r="AL9" s="488"/>
    </row>
    <row r="10" spans="1:38" ht="15.95" customHeight="1" thickTop="1">
      <c r="A10" s="383"/>
      <c r="B10" s="398">
        <v>42917</v>
      </c>
      <c r="C10" s="399">
        <f t="shared" si="0"/>
        <v>31</v>
      </c>
      <c r="D10" s="400">
        <f>IF(DATA!F22=B10,DAY(DATE(YEAR(B10),MONTH(B10)+1,1)-1)-DATA!B22,
  IF(DATA!F23=B10,DAY(DATE(YEAR(B10),MONTH(B10)+1,1)-1)-DATA!B23,
DAY(DATE(YEAR(B10),MONTH(B10)+1,1)-1)))</f>
        <v>31</v>
      </c>
      <c r="E10" s="399">
        <f>PRO!Z32</f>
        <v>38130</v>
      </c>
      <c r="F10" s="401">
        <f t="shared" si="6"/>
        <v>38130</v>
      </c>
      <c r="G10" s="383"/>
      <c r="H10" s="456">
        <f t="shared" si="1"/>
        <v>9191</v>
      </c>
      <c r="I10" s="456">
        <f t="shared" si="2"/>
        <v>8392</v>
      </c>
      <c r="J10" s="456">
        <f t="shared" si="3"/>
        <v>799</v>
      </c>
      <c r="K10" s="456">
        <f t="shared" si="4"/>
        <v>80</v>
      </c>
      <c r="L10" s="456">
        <f t="shared" si="5"/>
        <v>719</v>
      </c>
      <c r="M10" s="383"/>
      <c r="N10" s="455">
        <f t="shared" ref="N10:N16" si="7">ROUND(F10*25.676%,0)</f>
        <v>9790</v>
      </c>
      <c r="O10" s="455">
        <f t="shared" ref="O10:O16" si="8">ROUND(F10*24.104%,0)</f>
        <v>9191</v>
      </c>
      <c r="P10" s="455">
        <f t="shared" ref="P10:P16" si="9">N10-O10</f>
        <v>599</v>
      </c>
      <c r="Q10" s="455">
        <f t="shared" ref="Q10:Q14" si="10">ROUND((F10+N10)/10,0)-ROUND((F10+O10)/10,0)</f>
        <v>60</v>
      </c>
      <c r="R10" s="455">
        <f t="shared" ref="R10:R16" si="11">P10-Q10</f>
        <v>539</v>
      </c>
      <c r="S10" s="6"/>
      <c r="T10" s="6"/>
      <c r="U10" s="1436" t="s">
        <v>711</v>
      </c>
      <c r="V10" s="1438" t="s">
        <v>710</v>
      </c>
      <c r="W10" s="1440" t="s">
        <v>712</v>
      </c>
      <c r="X10" s="1442" t="s">
        <v>702</v>
      </c>
      <c r="Y10" s="383"/>
      <c r="Z10" s="487"/>
      <c r="AA10" s="441" t="s">
        <v>694</v>
      </c>
      <c r="AB10" s="412">
        <f>IF(AND(AC8&gt;250000,AC8&lt;500000),(AC8-AB9),IF(AND(AC8&gt;500000),250000,0))</f>
        <v>250000</v>
      </c>
      <c r="AC10" s="419">
        <f>ROUND(AB10*5%,0)</f>
        <v>12500</v>
      </c>
      <c r="AD10" s="419">
        <f>IF(AND(AE6&gt;250000,AE6&lt;500000),(AE6-AD9),IF(AND(AE6&gt;500000),250000,0))</f>
        <v>173073</v>
      </c>
      <c r="AE10" s="419">
        <f>ROUND(AD10*5%,0)</f>
        <v>8654</v>
      </c>
      <c r="AF10" s="383"/>
      <c r="AG10" s="441" t="s">
        <v>689</v>
      </c>
      <c r="AH10" s="412">
        <f>IF(AND(AI8&gt;250000,AI8&lt;500000),(AI8-AH9),IF(AND(AI8&gt;500000),250000,0))</f>
        <v>91836</v>
      </c>
      <c r="AI10" s="419">
        <f>ROUND(AH10*10%,0)</f>
        <v>9184</v>
      </c>
      <c r="AJ10" s="419">
        <f>IF(AND(AK6&gt;250000,AK6&lt;500000),(AK6-AJ9),IF(AND(AK6&gt;500000),250000,0))</f>
        <v>19390</v>
      </c>
      <c r="AK10" s="419">
        <f>ROUND(AJ10*10%,0)</f>
        <v>1939</v>
      </c>
      <c r="AL10" s="488"/>
    </row>
    <row r="11" spans="1:38" ht="15.95" customHeight="1">
      <c r="A11" s="383"/>
      <c r="B11" s="398">
        <v>42948</v>
      </c>
      <c r="C11" s="399">
        <f t="shared" si="0"/>
        <v>31</v>
      </c>
      <c r="D11" s="400">
        <f>IF(DATA!F22=B11,DAY(DATE(YEAR(B11),MONTH(B11)+1,1)-1)-DATA!B22,
  IF(DATA!F23=B11,DAY(DATE(YEAR(B11),MONTH(B11)+1,1)-1)-DATA!B23,
DAY(DATE(YEAR(B11),MONTH(B11)+1,1)-1)))</f>
        <v>31</v>
      </c>
      <c r="E11" s="399">
        <f>PRO!Z33</f>
        <v>39160</v>
      </c>
      <c r="F11" s="401">
        <f t="shared" si="6"/>
        <v>39160</v>
      </c>
      <c r="G11" s="383"/>
      <c r="H11" s="456">
        <f t="shared" si="1"/>
        <v>9439</v>
      </c>
      <c r="I11" s="456">
        <f t="shared" si="2"/>
        <v>8618</v>
      </c>
      <c r="J11" s="456">
        <f t="shared" si="3"/>
        <v>821</v>
      </c>
      <c r="K11" s="456">
        <f t="shared" si="4"/>
        <v>82</v>
      </c>
      <c r="L11" s="456">
        <f t="shared" si="5"/>
        <v>739</v>
      </c>
      <c r="M11" s="383"/>
      <c r="N11" s="455">
        <f t="shared" si="7"/>
        <v>10055</v>
      </c>
      <c r="O11" s="455">
        <f t="shared" si="8"/>
        <v>9439</v>
      </c>
      <c r="P11" s="455">
        <f t="shared" si="9"/>
        <v>616</v>
      </c>
      <c r="Q11" s="455">
        <f t="shared" si="10"/>
        <v>62</v>
      </c>
      <c r="R11" s="455">
        <f t="shared" si="11"/>
        <v>554</v>
      </c>
      <c r="S11" s="6"/>
      <c r="T11" s="6"/>
      <c r="U11" s="1437"/>
      <c r="V11" s="1439"/>
      <c r="W11" s="1441"/>
      <c r="X11" s="1443"/>
      <c r="Y11" s="383"/>
      <c r="Z11" s="487"/>
      <c r="AA11" s="441" t="s">
        <v>690</v>
      </c>
      <c r="AB11" s="412">
        <f>IF(AND(AC8&gt;=500000,AC8&lt;1000000),AC8-(AB9+AB10),IF(AND(AC8&gt;1000000),500000,0))</f>
        <v>11770</v>
      </c>
      <c r="AC11" s="419">
        <f>ROUND(AB11*20%,0)</f>
        <v>2354</v>
      </c>
      <c r="AD11" s="419">
        <f>IF(AND(AE6&gt;=500000,AE6&lt;1000000),AE6-(AD9+AD10),IF(AND(AE6&gt;1000000),500000,0))</f>
        <v>0</v>
      </c>
      <c r="AE11" s="419">
        <f>ROUND(AD11*20%,0)</f>
        <v>0</v>
      </c>
      <c r="AF11" s="383"/>
      <c r="AG11" s="441" t="s">
        <v>690</v>
      </c>
      <c r="AH11" s="412">
        <f>IF(AND(AI8&gt;=500000,AI8&lt;1000000),AI8-(AH9+AH10),IF(AND(AI8&gt;1000000),500000,0))</f>
        <v>0</v>
      </c>
      <c r="AI11" s="419">
        <f>ROUND(AH11*20%,0)</f>
        <v>0</v>
      </c>
      <c r="AJ11" s="419">
        <f>IF(AND(AK6&gt;=500000,AK6&lt;1000000),AK6-(AJ9+AJ10),IF(AND(AK6&gt;1000000),500000,0))</f>
        <v>0</v>
      </c>
      <c r="AK11" s="419">
        <f>ROUND(AJ11*20%,0)</f>
        <v>0</v>
      </c>
      <c r="AL11" s="488"/>
    </row>
    <row r="12" spans="1:38" ht="15.95" customHeight="1">
      <c r="A12" s="383"/>
      <c r="B12" s="398">
        <v>42979</v>
      </c>
      <c r="C12" s="399">
        <f t="shared" si="0"/>
        <v>30</v>
      </c>
      <c r="D12" s="400">
        <f>IF(DATA!F22=B12,DAY(DATE(YEAR(B12),MONTH(B12)+1,1)-1)-DATA!B22,
  IF(DATA!F23=B12,DAY(DATE(YEAR(B12),MONTH(B12)+1,1)-1)-DATA!B23,
DAY(DATE(YEAR(B12),MONTH(B12)+1,1)-1)))</f>
        <v>30</v>
      </c>
      <c r="E12" s="399">
        <f>PRO!Z34</f>
        <v>39160</v>
      </c>
      <c r="F12" s="401">
        <f t="shared" si="6"/>
        <v>39160</v>
      </c>
      <c r="G12" s="383"/>
      <c r="H12" s="456">
        <f t="shared" si="1"/>
        <v>9439</v>
      </c>
      <c r="I12" s="456">
        <f t="shared" si="2"/>
        <v>8618</v>
      </c>
      <c r="J12" s="456">
        <f t="shared" si="3"/>
        <v>821</v>
      </c>
      <c r="K12" s="456">
        <f t="shared" si="4"/>
        <v>82</v>
      </c>
      <c r="L12" s="456">
        <f t="shared" si="5"/>
        <v>739</v>
      </c>
      <c r="M12" s="383"/>
      <c r="N12" s="455">
        <f t="shared" si="7"/>
        <v>10055</v>
      </c>
      <c r="O12" s="455">
        <f t="shared" si="8"/>
        <v>9439</v>
      </c>
      <c r="P12" s="455">
        <f t="shared" si="9"/>
        <v>616</v>
      </c>
      <c r="Q12" s="455">
        <f t="shared" si="10"/>
        <v>62</v>
      </c>
      <c r="R12" s="455">
        <f t="shared" si="11"/>
        <v>554</v>
      </c>
      <c r="S12" s="6"/>
      <c r="T12" s="6"/>
      <c r="U12" s="474" t="s">
        <v>700</v>
      </c>
      <c r="V12" s="449">
        <f>AC6</f>
        <v>423073</v>
      </c>
      <c r="W12" s="450">
        <f>SUM(W13:W15)</f>
        <v>88697</v>
      </c>
      <c r="X12" s="475">
        <f>IF(V12&lt;=0,0,AE18)</f>
        <v>6448</v>
      </c>
      <c r="Y12" s="383"/>
      <c r="Z12" s="487"/>
      <c r="AA12" s="441" t="s">
        <v>691</v>
      </c>
      <c r="AB12" s="412">
        <f>IF(AND(AC8&gt;1000000),(AC8-1000000),0)</f>
        <v>0</v>
      </c>
      <c r="AC12" s="419">
        <f>ROUND(AB12*30%,0)</f>
        <v>0</v>
      </c>
      <c r="AD12" s="419">
        <f>IF(AND(AE6&gt;1000000),(AE6-1000000),0)</f>
        <v>0</v>
      </c>
      <c r="AE12" s="419">
        <f>ROUND(AD12*30%,0)</f>
        <v>0</v>
      </c>
      <c r="AF12" s="383"/>
      <c r="AG12" s="441" t="s">
        <v>691</v>
      </c>
      <c r="AH12" s="412">
        <f>IF(AND(AI8&gt;1000000),(AI8-1000000),0)</f>
        <v>0</v>
      </c>
      <c r="AI12" s="419">
        <f>ROUND(AH12*30%,0)</f>
        <v>0</v>
      </c>
      <c r="AJ12" s="419">
        <f>IF(AND(AK6&gt;1000000),(AK6-1000000),0)</f>
        <v>0</v>
      </c>
      <c r="AK12" s="419">
        <f>ROUND(AJ12*30%,0)</f>
        <v>0</v>
      </c>
      <c r="AL12" s="488"/>
    </row>
    <row r="13" spans="1:38" ht="15.95" customHeight="1">
      <c r="A13" s="383"/>
      <c r="B13" s="398">
        <v>43009</v>
      </c>
      <c r="C13" s="399">
        <f t="shared" si="0"/>
        <v>31</v>
      </c>
      <c r="D13" s="400">
        <f>IF(DATA!F22=B13,DAY(DATE(YEAR(B13),MONTH(B13)+1,1)-1)-DATA!B22,
  IF(DATA!F23=B13,DAY(DATE(YEAR(B13),MONTH(B13)+1,1)-1)-DATA!B23,
DAY(DATE(YEAR(B13),MONTH(B13)+1,1)-1)))</f>
        <v>31</v>
      </c>
      <c r="E13" s="399">
        <f>PRO!Z35</f>
        <v>39160</v>
      </c>
      <c r="F13" s="401">
        <f t="shared" si="6"/>
        <v>39160</v>
      </c>
      <c r="G13" s="383"/>
      <c r="H13" s="456">
        <f t="shared" si="1"/>
        <v>9439</v>
      </c>
      <c r="I13" s="456">
        <f t="shared" si="2"/>
        <v>8618</v>
      </c>
      <c r="J13" s="456">
        <f t="shared" si="3"/>
        <v>821</v>
      </c>
      <c r="K13" s="456">
        <f t="shared" si="4"/>
        <v>82</v>
      </c>
      <c r="L13" s="456">
        <f t="shared" si="5"/>
        <v>739</v>
      </c>
      <c r="M13" s="383"/>
      <c r="N13" s="455">
        <f t="shared" si="7"/>
        <v>10055</v>
      </c>
      <c r="O13" s="455">
        <f t="shared" si="8"/>
        <v>9439</v>
      </c>
      <c r="P13" s="455">
        <f t="shared" si="9"/>
        <v>616</v>
      </c>
      <c r="Q13" s="455">
        <f t="shared" si="10"/>
        <v>62</v>
      </c>
      <c r="R13" s="455">
        <f t="shared" si="11"/>
        <v>554</v>
      </c>
      <c r="S13" s="6"/>
      <c r="T13" s="6"/>
      <c r="U13" s="474" t="s">
        <v>699</v>
      </c>
      <c r="V13" s="449">
        <f>IF(DATA!F49="YES",DATA!G49,0)</f>
        <v>269390</v>
      </c>
      <c r="W13" s="450">
        <f>IF(AND(DATA!F49="YES",DATA!G49&gt;0),'ANNEXURE I'!N19,0)</f>
        <v>72446</v>
      </c>
      <c r="X13" s="476">
        <f>AK18</f>
        <v>7400</v>
      </c>
      <c r="Y13" s="383"/>
      <c r="Z13" s="487"/>
      <c r="AA13" s="441" t="s">
        <v>693</v>
      </c>
      <c r="AB13" s="412">
        <f>SUM(AB9:AB12)</f>
        <v>511770</v>
      </c>
      <c r="AC13" s="419">
        <f>SUM(AC9:AC12)</f>
        <v>14854</v>
      </c>
      <c r="AD13" s="419">
        <f>SUM(AD9:AD12)</f>
        <v>423073</v>
      </c>
      <c r="AE13" s="419">
        <f>SUM(AE9:AE12)</f>
        <v>8654</v>
      </c>
      <c r="AF13" s="383"/>
      <c r="AG13" s="441" t="s">
        <v>693</v>
      </c>
      <c r="AH13" s="412">
        <f>SUM(AH9:AH12)</f>
        <v>341836</v>
      </c>
      <c r="AI13" s="419">
        <f>SUM(AI9:AI12)</f>
        <v>9184</v>
      </c>
      <c r="AJ13" s="419">
        <f>SUM(AJ9:AJ12)</f>
        <v>269390</v>
      </c>
      <c r="AK13" s="419">
        <f>SUM(AK9:AK12)</f>
        <v>1939</v>
      </c>
      <c r="AL13" s="488"/>
    </row>
    <row r="14" spans="1:38" ht="15.95" customHeight="1">
      <c r="A14" s="383"/>
      <c r="B14" s="398">
        <v>43040</v>
      </c>
      <c r="C14" s="399">
        <f t="shared" si="0"/>
        <v>30</v>
      </c>
      <c r="D14" s="400">
        <f>IF(DATA!F22=B14,DAY(DATE(YEAR(B14),MONTH(B14)+1,1)-1)-DATA!B22,
  IF(DATA!F23=B14,DAY(DATE(YEAR(B14),MONTH(B14)+1,1)-1)-DATA!B23,
DAY(DATE(YEAR(B14),MONTH(B14)+1,1)-1)))</f>
        <v>30</v>
      </c>
      <c r="E14" s="399">
        <f>PRO!Z36</f>
        <v>39160</v>
      </c>
      <c r="F14" s="401">
        <f t="shared" si="6"/>
        <v>39160</v>
      </c>
      <c r="G14" s="383"/>
      <c r="H14" s="456">
        <f t="shared" si="1"/>
        <v>9439</v>
      </c>
      <c r="I14" s="456">
        <f t="shared" si="2"/>
        <v>8618</v>
      </c>
      <c r="J14" s="456">
        <f t="shared" si="3"/>
        <v>821</v>
      </c>
      <c r="K14" s="456">
        <f t="shared" si="4"/>
        <v>82</v>
      </c>
      <c r="L14" s="456">
        <f t="shared" si="5"/>
        <v>739</v>
      </c>
      <c r="M14" s="383"/>
      <c r="N14" s="455">
        <f t="shared" si="7"/>
        <v>10055</v>
      </c>
      <c r="O14" s="455">
        <f t="shared" si="8"/>
        <v>9439</v>
      </c>
      <c r="P14" s="455">
        <f t="shared" si="9"/>
        <v>616</v>
      </c>
      <c r="Q14" s="455">
        <f t="shared" si="10"/>
        <v>62</v>
      </c>
      <c r="R14" s="455">
        <f t="shared" si="11"/>
        <v>554</v>
      </c>
      <c r="S14" s="6"/>
      <c r="T14" s="6"/>
      <c r="U14" s="474" t="s">
        <v>698</v>
      </c>
      <c r="V14" s="449">
        <f>IF(DATA!F50="YES",DATA!G50,0)</f>
        <v>387970</v>
      </c>
      <c r="W14" s="450">
        <f>IF(AND(DATA!F50="YES",DATA!G50&gt;0),SUM(J4,J5),0)</f>
        <v>1598</v>
      </c>
      <c r="X14" s="476">
        <f>AE34</f>
        <v>165</v>
      </c>
      <c r="Y14" s="383"/>
      <c r="Z14" s="487"/>
      <c r="AA14" s="441" t="s">
        <v>707</v>
      </c>
      <c r="AB14" s="414"/>
      <c r="AC14" s="419">
        <f>IF(AC8&gt;350000,0,IF(AC13=0,0,IF(AC13&lt;=2500,AC13,IF(AC13&gt;2500,2500,0))))</f>
        <v>0</v>
      </c>
      <c r="AD14" s="419"/>
      <c r="AE14" s="419">
        <f>IF(AE8&gt;350000,0,IF(AE13=0,0,IF(AE13&lt;=2500,AE13,IF(AE13&gt;2500,2500,0))))</f>
        <v>0</v>
      </c>
      <c r="AF14" s="383"/>
      <c r="AG14" s="441" t="s">
        <v>707</v>
      </c>
      <c r="AH14" s="414"/>
      <c r="AI14" s="419">
        <f>IF(AI8&gt;500000,0,IF(AI13=0,0,IF(AI13&lt;=2000,AI13,IF(AI13&gt;2000,2000,0))))</f>
        <v>2000</v>
      </c>
      <c r="AJ14" s="419"/>
      <c r="AK14" s="419">
        <f>IF(AK8&gt;500000,0,IF(AK13=0,0,IF(AK13&lt;=2000,AK13,IF(AK13&gt;2000,2000,0))))</f>
        <v>1939</v>
      </c>
      <c r="AL14" s="488"/>
    </row>
    <row r="15" spans="1:38" ht="15.95" customHeight="1">
      <c r="A15" s="383"/>
      <c r="B15" s="398">
        <v>43070</v>
      </c>
      <c r="C15" s="399">
        <f t="shared" si="0"/>
        <v>31</v>
      </c>
      <c r="D15" s="400">
        <f>IF(DATA!F22=B15,DAY(DATE(YEAR(B15),MONTH(B15)+1,1)-1)-DATA!B22,
  IF(DATA!F23=B15,DAY(DATE(YEAR(B15),MONTH(B15)+1,1)-1)-DATA!B23,
DAY(DATE(YEAR(B15),MONTH(B15)+1,1)-1)))</f>
        <v>31</v>
      </c>
      <c r="E15" s="399">
        <f>PRO!Z37</f>
        <v>39160</v>
      </c>
      <c r="F15" s="401">
        <f t="shared" si="6"/>
        <v>39160</v>
      </c>
      <c r="G15" s="383"/>
      <c r="H15" s="456">
        <f>ROUND(F15*24.104%,0)</f>
        <v>9439</v>
      </c>
      <c r="I15" s="456">
        <f t="shared" si="2"/>
        <v>8618</v>
      </c>
      <c r="J15" s="456">
        <f t="shared" si="3"/>
        <v>821</v>
      </c>
      <c r="K15" s="456">
        <f t="shared" si="4"/>
        <v>82</v>
      </c>
      <c r="L15" s="456">
        <f t="shared" si="5"/>
        <v>739</v>
      </c>
      <c r="M15" s="383"/>
      <c r="N15" s="455">
        <f t="shared" si="7"/>
        <v>10055</v>
      </c>
      <c r="O15" s="455">
        <f t="shared" si="8"/>
        <v>9439</v>
      </c>
      <c r="P15" s="455">
        <f t="shared" si="9"/>
        <v>616</v>
      </c>
      <c r="Q15" s="455">
        <f>ROUND((F15+N15)/10,0)-ROUND((F15+O15)/10,0)</f>
        <v>62</v>
      </c>
      <c r="R15" s="455">
        <f t="shared" si="11"/>
        <v>554</v>
      </c>
      <c r="S15" s="6"/>
      <c r="T15" s="6"/>
      <c r="U15" s="474" t="s">
        <v>701</v>
      </c>
      <c r="V15" s="449">
        <f>IF(DATA!F51="YES",DATA!G51,0)</f>
        <v>497660</v>
      </c>
      <c r="W15" s="449">
        <f>IF(AND(DATA!F51="YES",DATA!G51&gt;0),SUM(J6:J18,P10:P18),0)</f>
        <v>14653</v>
      </c>
      <c r="X15" s="475">
        <f>AK34</f>
        <v>2658</v>
      </c>
      <c r="Y15" s="383"/>
      <c r="Z15" s="487"/>
      <c r="AA15" s="441" t="s">
        <v>706</v>
      </c>
      <c r="AB15" s="412"/>
      <c r="AC15" s="419">
        <f>IF(AND(AC8&lt;=350000,AC13&gt;2500),(AC13-AC14),IF(AND(AC8&gt;350000),AC13,0))</f>
        <v>14854</v>
      </c>
      <c r="AD15" s="419"/>
      <c r="AE15" s="419">
        <f>IF(AND(AE8&lt;=350000,AE13&gt;2500),(AE13-AE14),IF(AND(AE8&gt;350000),AE13,0))</f>
        <v>8654</v>
      </c>
      <c r="AF15" s="383"/>
      <c r="AG15" s="441" t="s">
        <v>706</v>
      </c>
      <c r="AH15" s="412"/>
      <c r="AI15" s="419">
        <f>IF(AND(AI8&lt;=500000,AI13&gt;2000),(AI13-AI14),IF(AND(AI8&gt;500000),AI13,0))</f>
        <v>7184</v>
      </c>
      <c r="AJ15" s="419"/>
      <c r="AK15" s="419">
        <f>IF(AND(AK8&lt;=500000,AK13&gt;2000),(AK13-AK14),IF(AND(AK8&gt;500000),AK13,0))</f>
        <v>0</v>
      </c>
      <c r="AL15" s="488"/>
    </row>
    <row r="16" spans="1:38" ht="15.95" customHeight="1" thickBot="1">
      <c r="A16" s="383"/>
      <c r="B16" s="430" t="str">
        <f>IF(F16=0,"E.L.s.","E.L.s.@ "&amp;TEXT(DATA!G20,"MMM-YYYY"))</f>
        <v>E.L.s.</v>
      </c>
      <c r="C16" s="399">
        <f>DATA!G21</f>
        <v>0</v>
      </c>
      <c r="D16" s="400">
        <f>C16</f>
        <v>0</v>
      </c>
      <c r="E16" s="399">
        <f>PRO!AR27</f>
        <v>0</v>
      </c>
      <c r="F16" s="402">
        <f>PRO!AR27</f>
        <v>0</v>
      </c>
      <c r="G16" s="383"/>
      <c r="H16" s="456">
        <f t="shared" si="1"/>
        <v>0</v>
      </c>
      <c r="I16" s="456">
        <f t="shared" si="2"/>
        <v>0</v>
      </c>
      <c r="J16" s="456">
        <f t="shared" si="3"/>
        <v>0</v>
      </c>
      <c r="K16" s="458"/>
      <c r="L16" s="456">
        <f t="shared" si="5"/>
        <v>0</v>
      </c>
      <c r="M16" s="383"/>
      <c r="N16" s="455">
        <f t="shared" si="7"/>
        <v>0</v>
      </c>
      <c r="O16" s="455">
        <f t="shared" si="8"/>
        <v>0</v>
      </c>
      <c r="P16" s="455">
        <f t="shared" si="9"/>
        <v>0</v>
      </c>
      <c r="Q16" s="458"/>
      <c r="R16" s="455">
        <f t="shared" si="11"/>
        <v>0</v>
      </c>
      <c r="S16" s="6"/>
      <c r="T16" s="6"/>
      <c r="U16" s="1433" t="s">
        <v>724</v>
      </c>
      <c r="V16" s="1434"/>
      <c r="W16" s="1435"/>
      <c r="X16" s="477">
        <f>IF(DATA!C48="NO",0,IF((X12-X15-X14-X13)&lt;0,0,X12-X15-X14-X13))</f>
        <v>0</v>
      </c>
      <c r="Y16" s="383"/>
      <c r="Z16" s="487"/>
      <c r="AA16" s="441" t="s">
        <v>907</v>
      </c>
      <c r="AB16" s="412"/>
      <c r="AC16" s="419">
        <f>ROUND(AC15*4%,0)</f>
        <v>594</v>
      </c>
      <c r="AD16" s="419">
        <f t="shared" ref="AD16:AE16" si="12">ROUND(AD15*4%,0)</f>
        <v>0</v>
      </c>
      <c r="AE16" s="419">
        <f t="shared" si="12"/>
        <v>346</v>
      </c>
      <c r="AF16" s="383"/>
      <c r="AG16" s="441" t="s">
        <v>908</v>
      </c>
      <c r="AH16" s="412"/>
      <c r="AI16" s="419">
        <f>ROUND(AI15*3%,0)</f>
        <v>216</v>
      </c>
      <c r="AJ16" s="419">
        <f t="shared" ref="AJ16" si="13">ROUND(AJ15*4%,0)</f>
        <v>0</v>
      </c>
      <c r="AK16" s="419">
        <f>ROUND(AK15*3%,0)</f>
        <v>0</v>
      </c>
      <c r="AL16" s="488"/>
    </row>
    <row r="17" spans="1:38" ht="15.95" customHeight="1" thickTop="1" thickBot="1">
      <c r="A17" s="383"/>
      <c r="B17" s="398">
        <v>43101</v>
      </c>
      <c r="C17" s="399">
        <f t="shared" ref="C17:C28" si="14">DAY(DATE(YEAR(B17),MONTH(B17)+1,1)-1)</f>
        <v>31</v>
      </c>
      <c r="D17" s="400">
        <f>C17</f>
        <v>31</v>
      </c>
      <c r="E17" s="399">
        <f>PRO!Y2</f>
        <v>39160</v>
      </c>
      <c r="F17" s="402">
        <f>E17</f>
        <v>39160</v>
      </c>
      <c r="H17" s="456">
        <f>ROUND(F17*24.104%,0)</f>
        <v>9439</v>
      </c>
      <c r="I17" s="456">
        <f>ROUND(F17*22.008%,0)</f>
        <v>8618</v>
      </c>
      <c r="J17" s="456">
        <f t="shared" si="3"/>
        <v>821</v>
      </c>
      <c r="K17" s="456">
        <f>ROUND((F17+H17)/10,0)-ROUND((F17+I17)/10,0)</f>
        <v>82</v>
      </c>
      <c r="L17" s="456">
        <f t="shared" si="5"/>
        <v>739</v>
      </c>
      <c r="N17" s="455">
        <f t="shared" ref="N17:N25" si="15">ROUND(F17*25.676%,0)</f>
        <v>10055</v>
      </c>
      <c r="O17" s="455">
        <f t="shared" ref="O17:O25" si="16">ROUND(F17*24.104%,0)</f>
        <v>9439</v>
      </c>
      <c r="P17" s="455">
        <f>N17-O17</f>
        <v>616</v>
      </c>
      <c r="Q17" s="455">
        <f t="shared" ref="Q17:Q25" si="17">ROUND((F17+N17)/10,0)-ROUND((F17+O17)/10,0)</f>
        <v>62</v>
      </c>
      <c r="R17" s="455">
        <f>P17-Q17</f>
        <v>554</v>
      </c>
      <c r="S17" s="6"/>
      <c r="T17" s="6"/>
      <c r="Z17" s="483"/>
      <c r="AA17" s="582" t="str">
        <f>"TAX FOR : "&amp;AA4</f>
        <v>TAX FOR : 2018-19</v>
      </c>
      <c r="AB17" s="435"/>
      <c r="AC17" s="436">
        <f>AC15+AC16</f>
        <v>15448</v>
      </c>
      <c r="AD17" s="436"/>
      <c r="AE17" s="436">
        <f>AE15+AE16</f>
        <v>9000</v>
      </c>
      <c r="AF17" s="15"/>
      <c r="AG17" s="582" t="str">
        <f>"TAX FOR : "&amp;AG4</f>
        <v>TAX FOR : 2014-15</v>
      </c>
      <c r="AH17" s="435"/>
      <c r="AI17" s="436">
        <f>AI15+AI16</f>
        <v>7400</v>
      </c>
      <c r="AJ17" s="436"/>
      <c r="AK17" s="436">
        <f>AK15+AK16</f>
        <v>0</v>
      </c>
      <c r="AL17" s="484"/>
    </row>
    <row r="18" spans="1:38" ht="15.95" customHeight="1" thickTop="1">
      <c r="A18" s="383"/>
      <c r="B18" s="398">
        <v>43132</v>
      </c>
      <c r="C18" s="399">
        <f t="shared" si="14"/>
        <v>28</v>
      </c>
      <c r="D18" s="400">
        <f>C18</f>
        <v>28</v>
      </c>
      <c r="E18" s="399">
        <f>PRO!Y3</f>
        <v>39160</v>
      </c>
      <c r="F18" s="402">
        <f>E18</f>
        <v>39160</v>
      </c>
      <c r="H18" s="456">
        <f>ROUND(F18*24.104%,0)</f>
        <v>9439</v>
      </c>
      <c r="I18" s="456">
        <f>ROUND(F18*22.008%,0)</f>
        <v>8618</v>
      </c>
      <c r="J18" s="456">
        <f t="shared" si="3"/>
        <v>821</v>
      </c>
      <c r="K18" s="456">
        <f>ROUND((F18+H18)/10,0)-ROUND((F18+I18)/10,0)</f>
        <v>82</v>
      </c>
      <c r="L18" s="456">
        <f t="shared" si="5"/>
        <v>739</v>
      </c>
      <c r="N18" s="455">
        <f t="shared" si="15"/>
        <v>10055</v>
      </c>
      <c r="O18" s="455">
        <f t="shared" si="16"/>
        <v>9439</v>
      </c>
      <c r="P18" s="455">
        <f>N18-O18</f>
        <v>616</v>
      </c>
      <c r="Q18" s="455">
        <f t="shared" si="17"/>
        <v>62</v>
      </c>
      <c r="R18" s="455">
        <f>P18-Q18</f>
        <v>554</v>
      </c>
      <c r="S18" s="6"/>
      <c r="T18" s="6"/>
      <c r="U18" s="804" t="s">
        <v>742</v>
      </c>
      <c r="V18" s="1426" t="str">
        <f>IF(H23=2,"JAN_2017 to FEB__2018",IF(H23=3,"JAN_2017 to MAR_2018","JAN_2017 to MAR_2018"))</f>
        <v>JAN_2017 to MAR_2018</v>
      </c>
      <c r="W18" s="1426"/>
      <c r="X18" s="1427"/>
      <c r="Z18" s="483"/>
      <c r="AA18" s="478" t="s">
        <v>702</v>
      </c>
      <c r="AB18" s="394"/>
      <c r="AC18" s="394"/>
      <c r="AD18" s="394"/>
      <c r="AE18" s="395">
        <f>AC17-AE17</f>
        <v>6448</v>
      </c>
      <c r="AF18" s="15"/>
      <c r="AG18" s="405" t="s">
        <v>702</v>
      </c>
      <c r="AH18" s="394"/>
      <c r="AI18" s="394"/>
      <c r="AJ18" s="394"/>
      <c r="AK18" s="479">
        <f>AI17-AK17</f>
        <v>7400</v>
      </c>
      <c r="AL18" s="484"/>
    </row>
    <row r="19" spans="1:38" ht="15.95" customHeight="1" thickBot="1">
      <c r="A19" s="383"/>
      <c r="B19" s="426">
        <v>43160</v>
      </c>
      <c r="C19" s="427">
        <f t="shared" si="14"/>
        <v>31</v>
      </c>
      <c r="D19" s="428">
        <f>DATA!V3</f>
        <v>31</v>
      </c>
      <c r="E19" s="427">
        <f>PRO!Y4</f>
        <v>39160</v>
      </c>
      <c r="F19" s="429">
        <f>DATA!X3</f>
        <v>39160</v>
      </c>
      <c r="H19" s="456">
        <f>ROUND(F19*24.104%,0)</f>
        <v>9439</v>
      </c>
      <c r="I19" s="456">
        <f>ROUND(F19*22.008%,0)</f>
        <v>8618</v>
      </c>
      <c r="J19" s="456">
        <f t="shared" si="3"/>
        <v>821</v>
      </c>
      <c r="K19" s="456">
        <f>ROUND((F19+H19)/10,0)-ROUND((F19+I19)/10,0)</f>
        <v>82</v>
      </c>
      <c r="L19" s="456">
        <f t="shared" si="5"/>
        <v>739</v>
      </c>
      <c r="N19" s="455">
        <f t="shared" si="15"/>
        <v>10055</v>
      </c>
      <c r="O19" s="455">
        <f t="shared" si="16"/>
        <v>9439</v>
      </c>
      <c r="P19" s="455">
        <f>N19-O19</f>
        <v>616</v>
      </c>
      <c r="Q19" s="455">
        <f t="shared" si="17"/>
        <v>62</v>
      </c>
      <c r="R19" s="455">
        <f>P19-Q19</f>
        <v>554</v>
      </c>
      <c r="S19" s="6"/>
      <c r="T19" s="6"/>
      <c r="U19" s="805" t="s">
        <v>743</v>
      </c>
      <c r="V19" s="1428" t="str">
        <f>IF(H24=8,"JUL._2017 to AUG_2018",IF(H24=9,"JUL._2017 to SEPT._2018","JUL._2017 to SEPT._2018"))</f>
        <v>JUL._2017 to SEPT._2018</v>
      </c>
      <c r="W19" s="1428"/>
      <c r="X19" s="1429"/>
      <c r="Z19" s="483"/>
      <c r="AA19" s="1463" t="s">
        <v>268</v>
      </c>
      <c r="AB19" s="1463"/>
      <c r="AC19" s="1463"/>
      <c r="AD19" s="1463"/>
      <c r="AE19" s="1463"/>
      <c r="AF19" s="1463"/>
      <c r="AG19" s="1463"/>
      <c r="AH19" s="1463"/>
      <c r="AI19" s="1463"/>
      <c r="AJ19" s="1463"/>
      <c r="AK19" s="1463"/>
      <c r="AL19" s="484"/>
    </row>
    <row r="20" spans="1:38" ht="15.95" customHeight="1" thickTop="1" thickBot="1">
      <c r="A20" s="383"/>
      <c r="B20" s="426">
        <v>43191</v>
      </c>
      <c r="C20" s="427">
        <f t="shared" si="14"/>
        <v>30</v>
      </c>
      <c r="D20" s="428">
        <f>DATA!V4</f>
        <v>30</v>
      </c>
      <c r="E20" s="427">
        <f>PRO!Y5</f>
        <v>39160</v>
      </c>
      <c r="F20" s="429">
        <f>DATA!X4</f>
        <v>39160</v>
      </c>
      <c r="H20" s="453"/>
      <c r="I20" s="453"/>
      <c r="J20" s="453"/>
      <c r="K20" s="453"/>
      <c r="L20" s="453"/>
      <c r="N20" s="455">
        <f t="shared" si="15"/>
        <v>10055</v>
      </c>
      <c r="O20" s="455">
        <f t="shared" si="16"/>
        <v>9439</v>
      </c>
      <c r="P20" s="455">
        <f t="shared" ref="P20:P25" si="18">N20-O20</f>
        <v>616</v>
      </c>
      <c r="Q20" s="455">
        <f t="shared" si="17"/>
        <v>62</v>
      </c>
      <c r="R20" s="455">
        <f t="shared" ref="R20:R25" si="19">P20-Q20</f>
        <v>554</v>
      </c>
      <c r="S20" s="6"/>
      <c r="T20" s="6"/>
      <c r="Z20" s="483"/>
      <c r="AA20" s="1462" t="s">
        <v>698</v>
      </c>
      <c r="AB20" s="451" t="s">
        <v>697</v>
      </c>
      <c r="AC20" s="1457" t="s">
        <v>697</v>
      </c>
      <c r="AD20" s="1457"/>
      <c r="AE20" s="1460" t="s">
        <v>708</v>
      </c>
      <c r="AF20" s="15"/>
      <c r="AG20" s="1459" t="s">
        <v>701</v>
      </c>
      <c r="AH20" s="1457" t="s">
        <v>697</v>
      </c>
      <c r="AI20" s="1457"/>
      <c r="AJ20" s="1457" t="s">
        <v>695</v>
      </c>
      <c r="AK20" s="1457"/>
      <c r="AL20" s="484"/>
    </row>
    <row r="21" spans="1:38" ht="15.95" customHeight="1" thickTop="1">
      <c r="B21" s="426">
        <v>43221</v>
      </c>
      <c r="C21" s="427">
        <f t="shared" si="14"/>
        <v>31</v>
      </c>
      <c r="D21" s="428">
        <f>DATA!V5</f>
        <v>31</v>
      </c>
      <c r="E21" s="427">
        <f>PRO!Y6</f>
        <v>39160</v>
      </c>
      <c r="F21" s="429">
        <f>DATA!X5</f>
        <v>39160</v>
      </c>
      <c r="H21" s="453"/>
      <c r="I21" s="453"/>
      <c r="J21" s="453"/>
      <c r="K21" s="453"/>
      <c r="L21" s="453"/>
      <c r="N21" s="455">
        <f t="shared" si="15"/>
        <v>10055</v>
      </c>
      <c r="O21" s="455">
        <f t="shared" si="16"/>
        <v>9439</v>
      </c>
      <c r="P21" s="455">
        <f t="shared" si="18"/>
        <v>616</v>
      </c>
      <c r="Q21" s="455">
        <f t="shared" si="17"/>
        <v>62</v>
      </c>
      <c r="R21" s="455">
        <f t="shared" si="19"/>
        <v>554</v>
      </c>
      <c r="U21" s="1481" t="s">
        <v>744</v>
      </c>
      <c r="V21" s="462" t="s">
        <v>688</v>
      </c>
      <c r="W21" s="463" t="s">
        <v>685</v>
      </c>
      <c r="X21" s="464" t="s">
        <v>686</v>
      </c>
      <c r="Z21" s="483"/>
      <c r="AA21" s="1458"/>
      <c r="AB21" s="451"/>
      <c r="AC21" s="1457"/>
      <c r="AD21" s="1457"/>
      <c r="AE21" s="1461"/>
      <c r="AF21" s="15"/>
      <c r="AG21" s="1459"/>
      <c r="AH21" s="1457"/>
      <c r="AI21" s="1457"/>
      <c r="AJ21" s="1457"/>
      <c r="AK21" s="1457"/>
      <c r="AL21" s="484"/>
    </row>
    <row r="22" spans="1:38" ht="15.95" customHeight="1">
      <c r="A22" s="135"/>
      <c r="B22" s="426">
        <v>43252</v>
      </c>
      <c r="C22" s="427">
        <f t="shared" si="14"/>
        <v>30</v>
      </c>
      <c r="D22" s="428">
        <f>DATA!V6</f>
        <v>30</v>
      </c>
      <c r="E22" s="427">
        <f>PRO!Y7</f>
        <v>39160</v>
      </c>
      <c r="F22" s="429">
        <f>DATA!X6</f>
        <v>39160</v>
      </c>
      <c r="H22" s="776" t="s">
        <v>215</v>
      </c>
      <c r="I22" s="782" t="s">
        <v>913</v>
      </c>
      <c r="J22" s="776" t="s">
        <v>256</v>
      </c>
      <c r="K22" s="776" t="s">
        <v>215</v>
      </c>
      <c r="L22" s="776" t="s">
        <v>687</v>
      </c>
      <c r="N22" s="455">
        <f t="shared" si="15"/>
        <v>10055</v>
      </c>
      <c r="O22" s="455">
        <f t="shared" si="16"/>
        <v>9439</v>
      </c>
      <c r="P22" s="455">
        <f t="shared" si="18"/>
        <v>616</v>
      </c>
      <c r="Q22" s="455">
        <f t="shared" si="17"/>
        <v>62</v>
      </c>
      <c r="R22" s="455">
        <f t="shared" si="19"/>
        <v>554</v>
      </c>
      <c r="U22" s="1482"/>
      <c r="V22" s="415" t="s">
        <v>256</v>
      </c>
      <c r="W22" s="416">
        <f>J23</f>
        <v>12161</v>
      </c>
      <c r="X22" s="465">
        <f>J24</f>
        <v>9257</v>
      </c>
      <c r="Z22" s="483"/>
      <c r="AA22" s="442" t="s">
        <v>696</v>
      </c>
      <c r="AB22" s="437"/>
      <c r="AC22" s="439">
        <f>V14</f>
        <v>387970</v>
      </c>
      <c r="AD22" s="439"/>
      <c r="AE22" s="438">
        <f>AC22</f>
        <v>387970</v>
      </c>
      <c r="AF22" s="19"/>
      <c r="AG22" s="442" t="s">
        <v>696</v>
      </c>
      <c r="AH22" s="437"/>
      <c r="AI22" s="439">
        <f>V15</f>
        <v>497660</v>
      </c>
      <c r="AJ22" s="439"/>
      <c r="AK22" s="438">
        <f>AI22</f>
        <v>497660</v>
      </c>
      <c r="AL22" s="484"/>
    </row>
    <row r="23" spans="1:38" ht="15.95" customHeight="1">
      <c r="A23" s="135"/>
      <c r="B23" s="426">
        <v>43282</v>
      </c>
      <c r="C23" s="427">
        <f t="shared" si="14"/>
        <v>31</v>
      </c>
      <c r="D23" s="428">
        <f>DATA!V7</f>
        <v>31</v>
      </c>
      <c r="E23" s="427">
        <f>PRO!Y8</f>
        <v>39160</v>
      </c>
      <c r="F23" s="429">
        <f>DATA!X7</f>
        <v>39160</v>
      </c>
      <c r="H23" s="777">
        <f>IF(DATA!E26="MANUAL",0,MONTH(VALUE(UPPER(TEXT(DATA!E26,"MMM"))&amp;"1")))</f>
        <v>0</v>
      </c>
      <c r="I23" s="776" t="s">
        <v>910</v>
      </c>
      <c r="J23" s="775">
        <f>IF(H23=2,SUM(J4:J18), IF(H23=3,SUM(J4:J19), SUM(J4:J19)))</f>
        <v>12161</v>
      </c>
      <c r="K23" s="775">
        <f>J23-L23</f>
        <v>11340</v>
      </c>
      <c r="L23" s="775">
        <f>IF(H23=2,0,J19)</f>
        <v>821</v>
      </c>
      <c r="N23" s="455">
        <f t="shared" si="15"/>
        <v>10055</v>
      </c>
      <c r="O23" s="455">
        <f t="shared" si="16"/>
        <v>9439</v>
      </c>
      <c r="P23" s="455">
        <f t="shared" si="18"/>
        <v>616</v>
      </c>
      <c r="Q23" s="455">
        <f t="shared" si="17"/>
        <v>62</v>
      </c>
      <c r="R23" s="455">
        <f t="shared" si="19"/>
        <v>554</v>
      </c>
      <c r="S23" s="373"/>
      <c r="T23" s="373"/>
      <c r="U23" s="1482"/>
      <c r="V23" s="415" t="s">
        <v>3</v>
      </c>
      <c r="W23" s="415">
        <f>K28</f>
        <v>1216</v>
      </c>
      <c r="X23" s="465">
        <f>K29</f>
        <v>930</v>
      </c>
      <c r="Z23" s="483"/>
      <c r="AA23" s="421" t="s">
        <v>716</v>
      </c>
      <c r="AB23" s="431"/>
      <c r="AC23" s="432">
        <f>W14</f>
        <v>1598</v>
      </c>
      <c r="AD23" s="433"/>
      <c r="AE23" s="434">
        <v>0</v>
      </c>
      <c r="AF23" s="15"/>
      <c r="AG23" s="421" t="s">
        <v>714</v>
      </c>
      <c r="AH23" s="431"/>
      <c r="AI23" s="434">
        <f>W15</f>
        <v>14653</v>
      </c>
      <c r="AJ23" s="433"/>
      <c r="AK23" s="434">
        <v>0</v>
      </c>
      <c r="AL23" s="484"/>
    </row>
    <row r="24" spans="1:38" ht="15.95" customHeight="1" thickBot="1">
      <c r="A24" s="135"/>
      <c r="B24" s="426">
        <v>43313</v>
      </c>
      <c r="C24" s="427">
        <f t="shared" si="14"/>
        <v>31</v>
      </c>
      <c r="D24" s="428">
        <f>DATA!V8</f>
        <v>31</v>
      </c>
      <c r="E24" s="427">
        <f>PRO!Y9</f>
        <v>40270</v>
      </c>
      <c r="F24" s="429">
        <f>DATA!X8</f>
        <v>40270</v>
      </c>
      <c r="H24" s="777">
        <f>IF(DATA!E27="MANUAL",0,MONTH(VALUE(UPPER(TEXT(DATA!E27,"MMM"))&amp;"1")))</f>
        <v>0</v>
      </c>
      <c r="I24" s="776" t="s">
        <v>686</v>
      </c>
      <c r="J24" s="775">
        <f>IF(H24=8,(SUM(P10:P24)+P29), IF(H24=9,SUM(P10:P29),SUM(P10:P29)))</f>
        <v>9257</v>
      </c>
      <c r="K24" s="775">
        <f>J24-L24</f>
        <v>8624</v>
      </c>
      <c r="L24" s="775">
        <f>IF(H24=8,0,P25)</f>
        <v>633</v>
      </c>
      <c r="N24" s="455">
        <f t="shared" si="15"/>
        <v>10340</v>
      </c>
      <c r="O24" s="455">
        <f t="shared" si="16"/>
        <v>9707</v>
      </c>
      <c r="P24" s="455">
        <f t="shared" si="18"/>
        <v>633</v>
      </c>
      <c r="Q24" s="455">
        <f t="shared" si="17"/>
        <v>63</v>
      </c>
      <c r="R24" s="455">
        <f t="shared" si="19"/>
        <v>570</v>
      </c>
      <c r="S24" s="374"/>
      <c r="T24" s="374"/>
      <c r="U24" s="1483"/>
      <c r="V24" s="466" t="s">
        <v>683</v>
      </c>
      <c r="W24" s="466">
        <f>L28</f>
        <v>10945</v>
      </c>
      <c r="X24" s="467">
        <f>L29</f>
        <v>8327</v>
      </c>
      <c r="Z24" s="483"/>
      <c r="AA24" s="441" t="s">
        <v>247</v>
      </c>
      <c r="AB24" s="413"/>
      <c r="AC24" s="419">
        <f>AC22+AC23</f>
        <v>389568</v>
      </c>
      <c r="AD24" s="420"/>
      <c r="AE24" s="419">
        <f>AE22+AE23</f>
        <v>387970</v>
      </c>
      <c r="AF24" s="15"/>
      <c r="AG24" s="441" t="s">
        <v>247</v>
      </c>
      <c r="AH24" s="413"/>
      <c r="AI24" s="419">
        <f>AI22+AI23</f>
        <v>512313</v>
      </c>
      <c r="AJ24" s="420"/>
      <c r="AK24" s="419">
        <f>AK22+AK23</f>
        <v>497660</v>
      </c>
      <c r="AL24" s="484"/>
    </row>
    <row r="25" spans="1:38" ht="15.95" customHeight="1" thickTop="1" thickBot="1">
      <c r="A25" s="134"/>
      <c r="B25" s="426">
        <v>43344</v>
      </c>
      <c r="C25" s="427">
        <f t="shared" si="14"/>
        <v>30</v>
      </c>
      <c r="D25" s="428">
        <f>DATA!V9</f>
        <v>30</v>
      </c>
      <c r="E25" s="427">
        <f>PRO!Y10</f>
        <v>40270</v>
      </c>
      <c r="F25" s="429">
        <f>DATA!X9</f>
        <v>40270</v>
      </c>
      <c r="H25" s="459"/>
      <c r="I25" s="453"/>
      <c r="J25" s="453"/>
      <c r="K25" s="453"/>
      <c r="N25" s="455">
        <f t="shared" si="15"/>
        <v>10340</v>
      </c>
      <c r="O25" s="455">
        <f t="shared" si="16"/>
        <v>9707</v>
      </c>
      <c r="P25" s="455">
        <f t="shared" si="18"/>
        <v>633</v>
      </c>
      <c r="Q25" s="455">
        <f t="shared" si="17"/>
        <v>63</v>
      </c>
      <c r="R25" s="455">
        <f t="shared" si="19"/>
        <v>570</v>
      </c>
      <c r="S25" s="374"/>
      <c r="T25" s="374"/>
      <c r="Z25" s="483"/>
      <c r="AA25" s="441" t="s">
        <v>692</v>
      </c>
      <c r="AB25" s="412">
        <f>IF(AND(AC24&lt;=250000),0,250000)</f>
        <v>250000</v>
      </c>
      <c r="AC25" s="419">
        <f>ROUND(AB25*0%,0)</f>
        <v>0</v>
      </c>
      <c r="AD25" s="419">
        <f>IF(AND(AE22&lt;=250000),0,250000)</f>
        <v>250000</v>
      </c>
      <c r="AE25" s="419">
        <f>ROUND(AD25*0%,0)</f>
        <v>0</v>
      </c>
      <c r="AF25" s="383"/>
      <c r="AG25" s="441" t="s">
        <v>692</v>
      </c>
      <c r="AH25" s="412">
        <f>IF(AND(AI24&lt;=250000),0,250000)</f>
        <v>250000</v>
      </c>
      <c r="AI25" s="419">
        <f>ROUND(AH25*0%,0)</f>
        <v>0</v>
      </c>
      <c r="AJ25" s="419">
        <f>IF(AND(AK22&lt;=250000),0,250000)</f>
        <v>250000</v>
      </c>
      <c r="AK25" s="419">
        <f>ROUND(AJ25*0%,0)</f>
        <v>0</v>
      </c>
      <c r="AL25" s="484"/>
    </row>
    <row r="26" spans="1:38" ht="15.95" customHeight="1" thickTop="1">
      <c r="A26" s="134"/>
      <c r="B26" s="426">
        <v>43374</v>
      </c>
      <c r="C26" s="427">
        <f t="shared" si="14"/>
        <v>31</v>
      </c>
      <c r="D26" s="428">
        <f>DATA!V10</f>
        <v>31</v>
      </c>
      <c r="E26" s="427">
        <f>PRO!Y11</f>
        <v>40270</v>
      </c>
      <c r="F26" s="429">
        <f>DATA!X10</f>
        <v>40270</v>
      </c>
      <c r="N26" s="455"/>
      <c r="O26" s="455"/>
      <c r="P26" s="455"/>
      <c r="Q26" s="455"/>
      <c r="R26" s="455"/>
      <c r="S26" s="374"/>
      <c r="T26" s="374"/>
      <c r="U26" s="468" t="s">
        <v>684</v>
      </c>
      <c r="V26" s="469" t="s">
        <v>688</v>
      </c>
      <c r="W26" s="463" t="s">
        <v>685</v>
      </c>
      <c r="X26" s="470" t="s">
        <v>686</v>
      </c>
      <c r="Z26" s="483"/>
      <c r="AA26" s="441" t="s">
        <v>689</v>
      </c>
      <c r="AB26" s="412">
        <f>IF(AND(AC24&gt;250000,AC24&lt;500000),(AC24-AB25),IF(AND(AC24&gt;500000),250000,0))</f>
        <v>139568</v>
      </c>
      <c r="AC26" s="419">
        <f>ROUND(AB26*10%,0)</f>
        <v>13957</v>
      </c>
      <c r="AD26" s="419">
        <f>IF(AND(AE22&gt;250000,AE22&lt;500000),(AE22-AD25),IF(AND(AE22&gt;500000),250000,0))</f>
        <v>137970</v>
      </c>
      <c r="AE26" s="419">
        <f>ROUND(AD26*10%,0)</f>
        <v>13797</v>
      </c>
      <c r="AF26" s="383"/>
      <c r="AG26" s="441" t="s">
        <v>694</v>
      </c>
      <c r="AH26" s="412">
        <f>IF(AND(AI24&gt;250000,AI24&lt;500000),(AI24-AH25),IF(AND(AI24&gt;500000),250000,0))</f>
        <v>250000</v>
      </c>
      <c r="AI26" s="419">
        <f>ROUND(AH26*5%,0)</f>
        <v>12500</v>
      </c>
      <c r="AJ26" s="419">
        <f>IF(AND(AK22&gt;250000,AK22&lt;500000),(AK22-AJ25),IF(AND(AK22&gt;500000),250000,0))</f>
        <v>247660</v>
      </c>
      <c r="AK26" s="419">
        <f>ROUND(AJ26*5%,0)</f>
        <v>12383</v>
      </c>
      <c r="AL26" s="484"/>
    </row>
    <row r="27" spans="1:38" ht="15.95" customHeight="1">
      <c r="A27" s="376"/>
      <c r="B27" s="426">
        <v>43405</v>
      </c>
      <c r="C27" s="427">
        <f t="shared" si="14"/>
        <v>30</v>
      </c>
      <c r="D27" s="428">
        <f>DATA!V11</f>
        <v>30</v>
      </c>
      <c r="E27" s="427">
        <f>PRO!Y12</f>
        <v>40270</v>
      </c>
      <c r="F27" s="429">
        <f>DATA!X11</f>
        <v>40270</v>
      </c>
      <c r="H27" s="778" t="s">
        <v>3</v>
      </c>
      <c r="I27" s="783" t="s">
        <v>913</v>
      </c>
      <c r="J27" s="778" t="s">
        <v>256</v>
      </c>
      <c r="K27" s="778" t="s">
        <v>3</v>
      </c>
      <c r="L27" s="778" t="s">
        <v>687</v>
      </c>
      <c r="N27" s="455"/>
      <c r="O27" s="455"/>
      <c r="P27" s="455"/>
      <c r="Q27" s="455"/>
      <c r="R27" s="455"/>
      <c r="S27" s="374"/>
      <c r="T27" s="374"/>
      <c r="U27" s="1464" t="s">
        <v>920</v>
      </c>
      <c r="V27" s="417" t="s">
        <v>256</v>
      </c>
      <c r="W27" s="418">
        <f>J23</f>
        <v>12161</v>
      </c>
      <c r="X27" s="471">
        <f>J24</f>
        <v>9257</v>
      </c>
      <c r="Z27" s="483"/>
      <c r="AA27" s="441" t="s">
        <v>690</v>
      </c>
      <c r="AB27" s="412">
        <f>IF(AND(AC24&gt;=500000,AC24&lt;1000000),AC24-(AB25+AB26),IF(AND(AC24&gt;1000000),500000,0))</f>
        <v>0</v>
      </c>
      <c r="AC27" s="419">
        <f>ROUND(AB27*20%,0)</f>
        <v>0</v>
      </c>
      <c r="AD27" s="419">
        <f>IF(AND(AE22&gt;=500000,AE22&lt;1000000),AE22-(AD25+AD26),IF(AND(AE22&gt;1000000),500000,0))</f>
        <v>0</v>
      </c>
      <c r="AE27" s="419">
        <f>ROUND(AD27*20%,0)</f>
        <v>0</v>
      </c>
      <c r="AF27" s="383"/>
      <c r="AG27" s="441" t="s">
        <v>690</v>
      </c>
      <c r="AH27" s="412">
        <f>IF(AND(AI24&gt;=500000,AI24&lt;1000000),AI24-(AH25+AH26),IF(AND(AI24&gt;1000000),500000,0))</f>
        <v>12313</v>
      </c>
      <c r="AI27" s="419">
        <f>ROUND(AH27*20%,0)</f>
        <v>2463</v>
      </c>
      <c r="AJ27" s="419">
        <f>IF(AND(AK22&gt;=500000,AK22&lt;1000000),AK22-(AJ25+AJ26),IF(AND(AK22&gt;1000000),500000,0))</f>
        <v>0</v>
      </c>
      <c r="AK27" s="419">
        <f>ROUND(AJ27*20%,0)</f>
        <v>0</v>
      </c>
      <c r="AL27" s="484"/>
    </row>
    <row r="28" spans="1:38" ht="15.95" customHeight="1">
      <c r="B28" s="426">
        <v>43435</v>
      </c>
      <c r="C28" s="427">
        <f t="shared" si="14"/>
        <v>31</v>
      </c>
      <c r="D28" s="428">
        <f>DATA!V12</f>
        <v>31</v>
      </c>
      <c r="E28" s="427">
        <f>PRO!Y13</f>
        <v>40270</v>
      </c>
      <c r="F28" s="429">
        <f>DATA!X12</f>
        <v>40270</v>
      </c>
      <c r="H28" s="779">
        <f t="shared" ref="H28:J29" si="20">H23</f>
        <v>0</v>
      </c>
      <c r="I28" s="778" t="str">
        <f t="shared" si="20"/>
        <v xml:space="preserve">DA 1 </v>
      </c>
      <c r="J28" s="780">
        <f t="shared" si="20"/>
        <v>12161</v>
      </c>
      <c r="K28" s="780">
        <f>IF(H28=2,SUM(K4:K18), IF(H28=3,SUM(K4:K19), SUM(K4:K19)))</f>
        <v>1216</v>
      </c>
      <c r="L28" s="780">
        <f>IF(H28=2,SUM(L4:L18), IF(H28=3,SUM(L4:L19), SUM(L4:L19)))</f>
        <v>10945</v>
      </c>
      <c r="N28" s="455"/>
      <c r="O28" s="455"/>
      <c r="P28" s="455"/>
      <c r="Q28" s="455"/>
      <c r="R28" s="455"/>
      <c r="S28" s="375"/>
      <c r="T28" s="375"/>
      <c r="U28" s="1464"/>
      <c r="V28" s="417" t="s">
        <v>215</v>
      </c>
      <c r="W28" s="418">
        <f>W27-W29</f>
        <v>11340</v>
      </c>
      <c r="X28" s="471">
        <f>X27-X29</f>
        <v>8624</v>
      </c>
      <c r="Z28" s="483"/>
      <c r="AA28" s="441" t="s">
        <v>691</v>
      </c>
      <c r="AB28" s="412">
        <f>IF(AND(AC24&gt;1000000),(AC24-1000000),0)</f>
        <v>0</v>
      </c>
      <c r="AC28" s="419">
        <f>ROUND(AB28*30%,0)</f>
        <v>0</v>
      </c>
      <c r="AD28" s="419">
        <f>IF(AND(AE22&gt;1000000),(AE22-1000000),0)</f>
        <v>0</v>
      </c>
      <c r="AE28" s="419">
        <f>ROUND(AD28*30%,0)</f>
        <v>0</v>
      </c>
      <c r="AF28" s="383"/>
      <c r="AG28" s="441" t="s">
        <v>691</v>
      </c>
      <c r="AH28" s="412">
        <f>IF(AND(AI24&gt;1000000),(AI24-1000000),0)</f>
        <v>0</v>
      </c>
      <c r="AI28" s="419">
        <f>ROUND(AH28*30%,0)</f>
        <v>0</v>
      </c>
      <c r="AJ28" s="419">
        <f>IF(AND(AK22&gt;1000000),(AK22-1000000),0)</f>
        <v>0</v>
      </c>
      <c r="AK28" s="419">
        <f>ROUND(AJ28*30%,0)</f>
        <v>0</v>
      </c>
      <c r="AL28" s="484"/>
    </row>
    <row r="29" spans="1:38" ht="15.95" customHeight="1" thickBot="1">
      <c r="A29" s="342"/>
      <c r="B29" s="430" t="str">
        <f>IF(F29=0,"A.A.S. ARREARS", "AAS @ "&amp;TEXT(DATA!G7,"MMM-YYYY"))</f>
        <v>A.A.S. ARREARS</v>
      </c>
      <c r="C29" s="163">
        <f>PRO!AO8</f>
        <v>33</v>
      </c>
      <c r="D29" s="166">
        <f>C29</f>
        <v>33</v>
      </c>
      <c r="E29" s="163">
        <f>IF(DATA!G7=DATA!U13,0,DATA!O17)</f>
        <v>0</v>
      </c>
      <c r="F29" s="429">
        <f>E29</f>
        <v>0</v>
      </c>
      <c r="H29" s="779">
        <f t="shared" si="20"/>
        <v>0</v>
      </c>
      <c r="I29" s="778" t="str">
        <f t="shared" si="20"/>
        <v>DA 2</v>
      </c>
      <c r="J29" s="780">
        <f t="shared" si="20"/>
        <v>9257</v>
      </c>
      <c r="K29" s="780">
        <f>IF(H29=8,SUM(Q10:Q29)-Q25, IF(H29=9,SUM(Q10:Q29), SUM(Q10:Q29)))</f>
        <v>930</v>
      </c>
      <c r="L29" s="780">
        <f>IF(H29=8,SUM(R10:R29)-R25, IF(H29=9,SUM(R10:R29), SUM(R10:R29)))</f>
        <v>8327</v>
      </c>
      <c r="N29" s="455">
        <f>IF(DATA!G7=RELIEF!B26,0,IF(DATA!G7=RELIEF!B27,0,IF(DATA!G7=RELIEF!B28,0,ROUND(F29*25.676%,0))))</f>
        <v>0</v>
      </c>
      <c r="O29" s="455">
        <f>IF(DATA!G7=RELIEF!B26,0,IF(DATA!G7=RELIEF!B27,0,IF(DATA!G7=RELIEF!B28,0,ROUND(F29*24.104%,0))))</f>
        <v>0</v>
      </c>
      <c r="P29" s="455">
        <f>N29-O29</f>
        <v>0</v>
      </c>
      <c r="Q29" s="455">
        <f>ROUND((F29+N29)/10,0)-ROUND((F29+O29)/10,0)</f>
        <v>0</v>
      </c>
      <c r="R29" s="455">
        <f>P29-Q29</f>
        <v>0</v>
      </c>
      <c r="S29" s="374"/>
      <c r="T29" s="374"/>
      <c r="U29" s="1465"/>
      <c r="V29" s="472" t="s">
        <v>687</v>
      </c>
      <c r="W29" s="472">
        <f>L23</f>
        <v>821</v>
      </c>
      <c r="X29" s="473">
        <f>L24</f>
        <v>633</v>
      </c>
      <c r="Z29" s="483"/>
      <c r="AA29" s="441" t="s">
        <v>693</v>
      </c>
      <c r="AB29" s="412">
        <f>SUM(AB25:AB28)</f>
        <v>389568</v>
      </c>
      <c r="AC29" s="419">
        <f>SUM(AC25:AC28)</f>
        <v>13957</v>
      </c>
      <c r="AD29" s="419">
        <f>SUM(AD25:AD28)</f>
        <v>387970</v>
      </c>
      <c r="AE29" s="419">
        <f>SUM(AE25:AE28)</f>
        <v>13797</v>
      </c>
      <c r="AF29" s="383"/>
      <c r="AG29" s="441" t="s">
        <v>693</v>
      </c>
      <c r="AH29" s="412">
        <f>SUM(AH25:AH28)</f>
        <v>512313</v>
      </c>
      <c r="AI29" s="419">
        <f>SUM(AI25:AI28)</f>
        <v>14963</v>
      </c>
      <c r="AJ29" s="419">
        <f>SUM(AJ25:AJ28)</f>
        <v>497660</v>
      </c>
      <c r="AK29" s="419">
        <f>SUM(AK25:AK28)</f>
        <v>12383</v>
      </c>
      <c r="AL29" s="484"/>
    </row>
    <row r="30" spans="1:38" ht="15.95" customHeight="1" thickTop="1" thickBot="1">
      <c r="A30" s="342"/>
      <c r="S30" s="374"/>
      <c r="T30" s="374"/>
      <c r="Z30" s="483"/>
      <c r="AA30" s="441" t="s">
        <v>707</v>
      </c>
      <c r="AB30" s="414"/>
      <c r="AC30" s="419">
        <f>IF(AC24&gt;500000,0,IF(AC29=0,0,IF(AC29&lt;=5000,AC29,IF(AC29&gt;5000,5000,0))))</f>
        <v>5000</v>
      </c>
      <c r="AD30" s="419"/>
      <c r="AE30" s="419">
        <f>IF(AE24&gt;500000,0,IF(AE29=0,0,IF(AE29&lt;=5000,AE29,IF(AE29&gt;5000,5000,0))))</f>
        <v>5000</v>
      </c>
      <c r="AF30" s="383"/>
      <c r="AG30" s="441" t="s">
        <v>707</v>
      </c>
      <c r="AH30" s="414"/>
      <c r="AI30" s="419">
        <f>IF(AI24&gt;350000,0,IF(AI29=0,0,IF(AI29&lt;=2500,AI29,IF(AI29&gt;2500,2500,0))))</f>
        <v>0</v>
      </c>
      <c r="AJ30" s="419"/>
      <c r="AK30" s="419">
        <f>IF(AK24&gt;350000,0,IF(AK29=0,0,IF(AK29&lt;=2500,AK29,IF(AK29&gt;2500,2500,0))))</f>
        <v>0</v>
      </c>
      <c r="AL30" s="484"/>
    </row>
    <row r="31" spans="1:38" ht="15.95" customHeight="1" thickTop="1">
      <c r="A31" s="342"/>
      <c r="B31" s="134"/>
      <c r="C31" s="448"/>
      <c r="D31" s="448"/>
      <c r="E31" s="448"/>
      <c r="F31" s="448"/>
      <c r="G31" s="448"/>
      <c r="H31" s="448"/>
      <c r="J31" s="448"/>
      <c r="K31" s="448"/>
      <c r="L31" s="448"/>
      <c r="M31" s="448"/>
      <c r="N31" s="448"/>
      <c r="O31" s="448"/>
      <c r="P31" s="448"/>
      <c r="Q31" s="448"/>
      <c r="R31" s="448"/>
      <c r="U31" s="1472" t="s">
        <v>745</v>
      </c>
      <c r="V31" s="1473"/>
      <c r="W31" s="1473"/>
      <c r="X31" s="1474"/>
      <c r="Z31" s="483"/>
      <c r="AA31" s="441" t="s">
        <v>706</v>
      </c>
      <c r="AB31" s="412"/>
      <c r="AC31" s="419">
        <f>IF(AND(AC24&lt;=500000,AC29&gt;5000),(AC29-AC30),IF(AND(AC24&gt;500000),AC29,0))</f>
        <v>8957</v>
      </c>
      <c r="AD31" s="419"/>
      <c r="AE31" s="419">
        <f>IF(AND(AE24&lt;=500000,AE29&gt;5000),(AE29-AE30),IF(AND(AE24&gt;500000),AE29,0))</f>
        <v>8797</v>
      </c>
      <c r="AF31" s="383"/>
      <c r="AG31" s="441" t="s">
        <v>706</v>
      </c>
      <c r="AH31" s="412"/>
      <c r="AI31" s="419">
        <f>IF(AND(AI24&lt;=350000,AI29&gt;2500),(AI29-AI30),IF(AND(AI24&gt;350000),AI29,0))</f>
        <v>14963</v>
      </c>
      <c r="AJ31" s="419"/>
      <c r="AK31" s="419">
        <f>IF(AND(AK24&lt;=350000,AK29&gt;2500),(AK29-AK30),IF(AND(AK24&gt;350000),AK29,0))</f>
        <v>12383</v>
      </c>
      <c r="AL31" s="484"/>
    </row>
    <row r="32" spans="1:38" ht="15.95" customHeight="1">
      <c r="A32" s="384"/>
      <c r="B32" s="784">
        <v>43132</v>
      </c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U32" s="1475"/>
      <c r="V32" s="1476"/>
      <c r="W32" s="1476"/>
      <c r="X32" s="1477"/>
      <c r="Z32" s="483"/>
      <c r="AA32" s="441" t="s">
        <v>908</v>
      </c>
      <c r="AB32" s="412"/>
      <c r="AC32" s="419">
        <f>ROUND(AC31*3%,0)</f>
        <v>269</v>
      </c>
      <c r="AD32" s="419">
        <f t="shared" ref="AD32" si="21">ROUND(AD31*4%,0)</f>
        <v>0</v>
      </c>
      <c r="AE32" s="419">
        <f>ROUND(AE31*3%,0)</f>
        <v>264</v>
      </c>
      <c r="AF32" s="15"/>
      <c r="AG32" s="441" t="s">
        <v>908</v>
      </c>
      <c r="AH32" s="412"/>
      <c r="AI32" s="419">
        <f>ROUND(AI31*3%,0)</f>
        <v>449</v>
      </c>
      <c r="AJ32" s="419">
        <f t="shared" ref="AJ32" si="22">ROUND(AJ31*4%,0)</f>
        <v>0</v>
      </c>
      <c r="AK32" s="419">
        <f>ROUND(AK31*3%,0)</f>
        <v>371</v>
      </c>
      <c r="AL32" s="484"/>
    </row>
    <row r="33" spans="2:38" ht="15.95" customHeight="1">
      <c r="B33" s="784">
        <v>43160</v>
      </c>
      <c r="C33" s="444"/>
      <c r="D33" s="444"/>
      <c r="E33" s="444"/>
      <c r="F33" s="444"/>
      <c r="G33" s="444"/>
      <c r="M33" s="444"/>
      <c r="N33" s="444"/>
      <c r="O33" s="444"/>
      <c r="P33" s="444"/>
      <c r="Q33" s="444"/>
      <c r="R33" s="444"/>
      <c r="S33" s="6"/>
      <c r="T33" s="6"/>
      <c r="U33" s="1475"/>
      <c r="V33" s="1476"/>
      <c r="W33" s="1476"/>
      <c r="X33" s="1477"/>
      <c r="Z33" s="483"/>
      <c r="AA33" s="582" t="str">
        <f>"TAX FOR : "&amp;AA20</f>
        <v>TAX FOR : 2016-17</v>
      </c>
      <c r="AB33" s="435"/>
      <c r="AC33" s="436">
        <f>AC31+AC32</f>
        <v>9226</v>
      </c>
      <c r="AD33" s="436"/>
      <c r="AE33" s="436">
        <f>AE31+AE32</f>
        <v>9061</v>
      </c>
      <c r="AF33" s="15"/>
      <c r="AG33" s="583" t="str">
        <f>"TAX FOR : "&amp;AG20</f>
        <v>TAX FOR : 2017-18</v>
      </c>
      <c r="AH33" s="435"/>
      <c r="AI33" s="436">
        <f>AI31+AI32</f>
        <v>15412</v>
      </c>
      <c r="AJ33" s="436"/>
      <c r="AK33" s="436">
        <f>AK31+AK32</f>
        <v>12754</v>
      </c>
      <c r="AL33" s="484"/>
    </row>
    <row r="34" spans="2:38" ht="15.95" customHeight="1">
      <c r="B34" s="781" t="s">
        <v>914</v>
      </c>
      <c r="C34" s="444"/>
      <c r="D34" s="444"/>
      <c r="E34" s="444"/>
      <c r="F34" s="444"/>
      <c r="G34" s="444"/>
      <c r="M34" s="444"/>
      <c r="N34" s="444"/>
      <c r="O34" s="444"/>
      <c r="P34" s="444"/>
      <c r="Q34" s="444"/>
      <c r="R34" s="444"/>
      <c r="S34" s="6"/>
      <c r="T34" s="6"/>
      <c r="U34" s="1475"/>
      <c r="V34" s="1476"/>
      <c r="W34" s="1476"/>
      <c r="X34" s="1477"/>
      <c r="Z34" s="483"/>
      <c r="AA34" s="478" t="s">
        <v>702</v>
      </c>
      <c r="AB34" s="394"/>
      <c r="AC34" s="394"/>
      <c r="AD34" s="394"/>
      <c r="AE34" s="395">
        <f>AC33-AE33</f>
        <v>165</v>
      </c>
      <c r="AF34" s="15"/>
      <c r="AG34" s="405" t="s">
        <v>702</v>
      </c>
      <c r="AH34" s="394"/>
      <c r="AI34" s="394"/>
      <c r="AJ34" s="394"/>
      <c r="AK34" s="479">
        <f>AI33-AK33</f>
        <v>2658</v>
      </c>
      <c r="AL34" s="484"/>
    </row>
    <row r="35" spans="2:38" ht="15.95" customHeight="1">
      <c r="B35" s="134"/>
      <c r="C35" s="444"/>
      <c r="D35" s="444"/>
      <c r="E35" s="444"/>
      <c r="F35" s="444"/>
      <c r="G35" s="444"/>
      <c r="M35" s="444"/>
      <c r="N35" s="444"/>
      <c r="O35" s="444"/>
      <c r="P35" s="444"/>
      <c r="Q35" s="444"/>
      <c r="R35" s="444"/>
      <c r="S35" s="6"/>
      <c r="T35" s="6"/>
      <c r="U35" s="1475"/>
      <c r="V35" s="1476"/>
      <c r="W35" s="1476"/>
      <c r="X35" s="1477"/>
      <c r="Z35" s="483"/>
      <c r="AA35" s="1466" t="s">
        <v>709</v>
      </c>
      <c r="AB35" s="1467"/>
      <c r="AC35" s="1467"/>
      <c r="AD35" s="1467"/>
      <c r="AE35" s="1468"/>
      <c r="AF35" s="480" t="s">
        <v>703</v>
      </c>
      <c r="AG35" s="1469" t="str">
        <f>CONCATENATE(X12," - ","(",X13," + ",X14," + ",X15,")  = ",X16)</f>
        <v>6448 - (7400 + 165 + 2658)  = 0</v>
      </c>
      <c r="AH35" s="1470"/>
      <c r="AI35" s="1470"/>
      <c r="AJ35" s="1470"/>
      <c r="AK35" s="1471"/>
      <c r="AL35" s="484"/>
    </row>
    <row r="36" spans="2:38" ht="15.75" thickBot="1">
      <c r="B36" s="784">
        <v>43313</v>
      </c>
      <c r="S36" s="6"/>
      <c r="T36" s="6"/>
      <c r="U36" s="1478"/>
      <c r="V36" s="1479"/>
      <c r="W36" s="1479"/>
      <c r="X36" s="1480"/>
      <c r="Z36" s="489"/>
      <c r="AA36" s="1484" t="s">
        <v>268</v>
      </c>
      <c r="AB36" s="1484"/>
      <c r="AC36" s="1484"/>
      <c r="AD36" s="1484"/>
      <c r="AE36" s="1484"/>
      <c r="AF36" s="1484"/>
      <c r="AG36" s="1484"/>
      <c r="AH36" s="1484"/>
      <c r="AI36" s="1484"/>
      <c r="AJ36" s="1484"/>
      <c r="AK36" s="1484"/>
      <c r="AL36" s="490"/>
    </row>
    <row r="37" spans="2:38" ht="15.75" thickTop="1">
      <c r="B37" s="784">
        <v>43344</v>
      </c>
      <c r="S37" s="6"/>
      <c r="T37" s="6"/>
    </row>
    <row r="38" spans="2:38">
      <c r="B38" s="781" t="s">
        <v>914</v>
      </c>
    </row>
    <row r="40" spans="2:38">
      <c r="L40" s="453"/>
      <c r="S40" s="6"/>
      <c r="T40" s="6"/>
    </row>
    <row r="41" spans="2:38">
      <c r="L41" s="453"/>
      <c r="S41" s="6"/>
      <c r="T41" s="6"/>
    </row>
    <row r="42" spans="2:38">
      <c r="S42" s="6"/>
      <c r="T42" s="6"/>
      <c r="U42" s="410"/>
      <c r="V42" s="411"/>
      <c r="W42" s="411"/>
      <c r="X42" s="411"/>
    </row>
    <row r="43" spans="2:38">
      <c r="S43" s="6"/>
      <c r="T43" s="6"/>
    </row>
    <row r="44" spans="2:38">
      <c r="S44" s="6"/>
      <c r="T44" s="6"/>
    </row>
    <row r="45" spans="2:38">
      <c r="S45" s="6"/>
      <c r="T45" s="6"/>
    </row>
    <row r="46" spans="2:38">
      <c r="S46" s="6"/>
      <c r="T46" s="6"/>
    </row>
    <row r="47" spans="2:38">
      <c r="S47" s="6"/>
      <c r="T47" s="6"/>
    </row>
    <row r="48" spans="2:38">
      <c r="S48" s="6"/>
      <c r="T48" s="6"/>
    </row>
    <row r="49" spans="19:24">
      <c r="S49" s="6"/>
      <c r="T49" s="6"/>
    </row>
    <row r="50" spans="19:24">
      <c r="S50" s="6"/>
      <c r="T50" s="6"/>
    </row>
    <row r="51" spans="19:24">
      <c r="S51" s="6"/>
      <c r="T51" s="6"/>
      <c r="X51" s="386"/>
    </row>
    <row r="52" spans="19:24">
      <c r="S52" s="6"/>
      <c r="T52" s="6"/>
    </row>
    <row r="53" spans="19:24">
      <c r="S53" s="6"/>
      <c r="T53" s="6"/>
    </row>
    <row r="54" spans="19:24">
      <c r="S54" s="6"/>
      <c r="T54" s="6"/>
    </row>
    <row r="55" spans="19:24">
      <c r="S55" s="6"/>
      <c r="T55" s="6"/>
    </row>
    <row r="56" spans="19:24" ht="18" customHeight="1">
      <c r="S56" s="6"/>
      <c r="T56" s="6"/>
    </row>
    <row r="57" spans="19:24">
      <c r="S57" s="6"/>
      <c r="T57" s="6"/>
    </row>
    <row r="58" spans="19:24">
      <c r="S58" s="6"/>
      <c r="T58" s="6"/>
    </row>
    <row r="59" spans="19:24">
      <c r="S59" s="6"/>
      <c r="T59" s="6"/>
    </row>
    <row r="60" spans="19:24">
      <c r="S60" s="6"/>
      <c r="T60" s="6"/>
    </row>
    <row r="61" spans="19:24">
      <c r="S61" s="6"/>
      <c r="T61" s="6"/>
    </row>
    <row r="62" spans="19:24">
      <c r="S62" s="6"/>
      <c r="T62" s="6"/>
    </row>
    <row r="63" spans="19:24">
      <c r="S63" s="6"/>
      <c r="T63" s="6"/>
    </row>
    <row r="64" spans="19:24">
      <c r="S64" s="6"/>
      <c r="T64" s="6"/>
    </row>
    <row r="65" spans="19:20">
      <c r="S65" s="6"/>
      <c r="T65" s="6"/>
    </row>
    <row r="66" spans="19:20">
      <c r="S66" s="6"/>
      <c r="T66" s="6"/>
    </row>
    <row r="67" spans="19:20">
      <c r="S67" s="6"/>
      <c r="T67" s="6"/>
    </row>
    <row r="68" spans="19:20">
      <c r="S68" s="6"/>
      <c r="T68" s="6"/>
    </row>
    <row r="69" spans="19:20">
      <c r="S69" s="6"/>
      <c r="T69" s="6"/>
    </row>
    <row r="70" spans="19:20">
      <c r="S70" s="6"/>
      <c r="T70" s="6"/>
    </row>
    <row r="71" spans="19:20">
      <c r="S71" s="6"/>
      <c r="T71" s="6"/>
    </row>
    <row r="72" spans="19:20">
      <c r="S72" s="6"/>
      <c r="T72" s="6"/>
    </row>
    <row r="73" spans="19:20">
      <c r="S73" s="6"/>
      <c r="T73" s="6"/>
    </row>
    <row r="74" spans="19:20">
      <c r="S74" s="6"/>
      <c r="T74" s="6"/>
    </row>
    <row r="75" spans="19:20">
      <c r="S75" s="6"/>
      <c r="T75" s="6"/>
    </row>
    <row r="76" spans="19:20">
      <c r="S76" s="6"/>
      <c r="T76" s="6"/>
    </row>
    <row r="77" spans="19:20">
      <c r="S77" s="6"/>
      <c r="T77" s="6"/>
    </row>
    <row r="78" spans="19:20">
      <c r="S78" s="6"/>
      <c r="T78" s="6"/>
    </row>
    <row r="79" spans="19:20">
      <c r="S79" s="6"/>
      <c r="T79" s="6"/>
    </row>
    <row r="80" spans="19:20">
      <c r="S80" s="6"/>
      <c r="T80" s="6"/>
    </row>
    <row r="81" spans="19:20">
      <c r="S81" s="6"/>
      <c r="T81" s="6"/>
    </row>
    <row r="82" spans="19:20">
      <c r="S82" s="6"/>
      <c r="T82" s="6"/>
    </row>
    <row r="83" spans="19:20">
      <c r="S83" s="6"/>
      <c r="T83" s="6"/>
    </row>
    <row r="84" spans="19:20">
      <c r="S84" s="6"/>
      <c r="T84" s="6"/>
    </row>
    <row r="85" spans="19:20">
      <c r="S85" s="6"/>
      <c r="T85" s="6"/>
    </row>
    <row r="86" spans="19:20">
      <c r="S86" s="6"/>
      <c r="T86" s="6"/>
    </row>
    <row r="87" spans="19:20">
      <c r="S87" s="6"/>
      <c r="T87" s="6"/>
    </row>
    <row r="88" spans="19:20">
      <c r="S88" s="6"/>
      <c r="T88" s="6"/>
    </row>
    <row r="89" spans="19:20">
      <c r="S89" s="6"/>
      <c r="T89" s="6"/>
    </row>
    <row r="90" spans="19:20">
      <c r="S90" s="6"/>
      <c r="T90" s="6"/>
    </row>
    <row r="91" spans="19:20">
      <c r="S91" s="6"/>
      <c r="T91" s="6"/>
    </row>
    <row r="92" spans="19:20">
      <c r="S92" s="6"/>
      <c r="T92" s="6"/>
    </row>
    <row r="93" spans="19:20">
      <c r="S93" s="6"/>
      <c r="T93" s="6"/>
    </row>
    <row r="94" spans="19:20">
      <c r="S94" s="6"/>
      <c r="T94" s="6"/>
    </row>
    <row r="95" spans="19:20">
      <c r="S95" s="6"/>
      <c r="T95" s="6"/>
    </row>
    <row r="96" spans="19:20">
      <c r="S96" s="6"/>
      <c r="T96" s="6"/>
    </row>
    <row r="97" spans="19:20">
      <c r="S97" s="6"/>
      <c r="T97" s="6"/>
    </row>
    <row r="98" spans="19:20">
      <c r="S98" s="6"/>
      <c r="T98" s="6"/>
    </row>
    <row r="99" spans="19:20">
      <c r="S99" s="6"/>
      <c r="T99" s="6"/>
    </row>
    <row r="100" spans="19:20">
      <c r="S100" s="6"/>
      <c r="T100" s="6"/>
    </row>
    <row r="101" spans="19:20">
      <c r="S101" s="6"/>
      <c r="T101" s="6"/>
    </row>
  </sheetData>
  <sheetProtection password="C6B1" sheet="1" objects="1" scenarios="1" selectLockedCells="1" selectUnlockedCells="1"/>
  <mergeCells count="33">
    <mergeCell ref="U27:U29"/>
    <mergeCell ref="AA35:AE35"/>
    <mergeCell ref="AG35:AK35"/>
    <mergeCell ref="AA20:AA21"/>
    <mergeCell ref="U31:X36"/>
    <mergeCell ref="U21:U24"/>
    <mergeCell ref="AA36:AK36"/>
    <mergeCell ref="AA2:AK2"/>
    <mergeCell ref="AJ20:AK21"/>
    <mergeCell ref="AA4:AA5"/>
    <mergeCell ref="AI4:AJ5"/>
    <mergeCell ref="AK4:AK5"/>
    <mergeCell ref="AE20:AE21"/>
    <mergeCell ref="AH20:AI21"/>
    <mergeCell ref="AB4:AC5"/>
    <mergeCell ref="AD4:AE5"/>
    <mergeCell ref="AG4:AG5"/>
    <mergeCell ref="AC20:AD21"/>
    <mergeCell ref="AA19:AK19"/>
    <mergeCell ref="AG20:AG21"/>
    <mergeCell ref="V18:X18"/>
    <mergeCell ref="V19:X19"/>
    <mergeCell ref="U2:X2"/>
    <mergeCell ref="U16:W16"/>
    <mergeCell ref="U10:U11"/>
    <mergeCell ref="V10:V11"/>
    <mergeCell ref="W10:W11"/>
    <mergeCell ref="X10:X11"/>
    <mergeCell ref="U4:X4"/>
    <mergeCell ref="U5:X5"/>
    <mergeCell ref="U6:X6"/>
    <mergeCell ref="U7:X7"/>
    <mergeCell ref="U8:X8"/>
  </mergeCells>
  <conditionalFormatting sqref="C7:D29">
    <cfRule type="cellIs" dxfId="3" priority="10" operator="lessThan">
      <formula>30</formula>
    </cfRule>
  </conditionalFormatting>
  <printOptions horizontalCentered="1"/>
  <pageMargins left="0.23622047244094491" right="0.23622047244094491" top="0.23622047244094491" bottom="0.23622047244094491" header="0.15748031496062992" footer="0.15748031496062992"/>
  <pageSetup paperSize="9" scale="8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4D4432F2-507D-4649-A41E-A2A6ABB96DB7}">
            <xm:f>DATA!$G$3="GPF"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X21 V22:X24 V21</xm:sqref>
        </x14:conditionalFormatting>
        <x14:conditionalFormatting xmlns:xm="http://schemas.microsoft.com/office/excel/2006/main">
          <x14:cfRule type="expression" priority="6" id="{79BDCBCD-217C-46AB-B590-5E61BDE4B4FD}">
            <xm:f>DATA!$G$3="CPS"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U26:X29</xm:sqref>
        </x14:conditionalFormatting>
        <x14:conditionalFormatting xmlns:xm="http://schemas.microsoft.com/office/excel/2006/main">
          <x14:cfRule type="expression" priority="3" id="{31B26AB1-1965-4A09-ACC8-1A3EC4FAF34D}">
            <xm:f>DATA!$G$3="GPF"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U21:X24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AH73"/>
  <sheetViews>
    <sheetView showGridLines="0" showRowColHeaders="0" tabSelected="1" zoomScaleNormal="100" zoomScaleSheetLayoutView="100" workbookViewId="0">
      <pane xSplit="2" ySplit="2" topLeftCell="C31" activePane="bottomRight" state="frozen"/>
      <selection activeCell="C26" sqref="C26:AA26"/>
      <selection pane="topRight" activeCell="C26" sqref="C26:AA26"/>
      <selection pane="bottomLeft" activeCell="C26" sqref="C26:AA26"/>
      <selection pane="bottomRight" activeCell="O40" sqref="O40:Q40"/>
    </sheetView>
  </sheetViews>
  <sheetFormatPr defaultRowHeight="15"/>
  <cols>
    <col min="1" max="1" width="0.42578125" customWidth="1" collapsed="1"/>
    <col min="2" max="2" width="11.85546875" customWidth="1" collapsed="1"/>
    <col min="3" max="5" width="9.42578125" customWidth="1" collapsed="1"/>
    <col min="6" max="6" width="10.7109375" customWidth="1" collapsed="1"/>
    <col min="7" max="7" width="13.28515625" style="14" customWidth="1" collapsed="1"/>
    <col min="8" max="8" width="1.7109375" style="1" customWidth="1" collapsed="1"/>
    <col min="9" max="9" width="10.7109375" customWidth="1" collapsed="1"/>
    <col min="10" max="10" width="7.7109375" customWidth="1" collapsed="1"/>
    <col min="11" max="11" width="10.5703125" customWidth="1" collapsed="1"/>
    <col min="12" max="12" width="7.7109375" customWidth="1" collapsed="1"/>
    <col min="13" max="13" width="1.28515625" style="1" customWidth="1" collapsed="1"/>
    <col min="14" max="14" width="11" style="1" customWidth="1" collapsed="1"/>
    <col min="15" max="16" width="9.28515625" style="1" customWidth="1" collapsed="1"/>
    <col min="17" max="17" width="7.7109375" style="16" customWidth="1" collapsed="1"/>
    <col min="18" max="18" width="1.28515625" style="16" customWidth="1" collapsed="1"/>
    <col min="19" max="20" width="8" style="16" customWidth="1" collapsed="1"/>
    <col min="21" max="21" width="8.28515625" style="16" customWidth="1" collapsed="1"/>
    <col min="22" max="22" width="6.28515625" customWidth="1" collapsed="1"/>
    <col min="23" max="24" width="8.28515625" customWidth="1" collapsed="1"/>
    <col min="25" max="25" width="7.7109375" hidden="1" customWidth="1" collapsed="1"/>
    <col min="26" max="26" width="8.28515625" customWidth="1" collapsed="1"/>
    <col min="27" max="27" width="6.7109375" hidden="1" customWidth="1" collapsed="1"/>
    <col min="28" max="28" width="2.7109375" style="112" hidden="1" customWidth="1" collapsed="1"/>
    <col min="29" max="29" width="7.7109375" hidden="1" customWidth="1" collapsed="1"/>
    <col min="30" max="32" width="7.7109375" style="1" hidden="1" customWidth="1" collapsed="1"/>
    <col min="33" max="33" width="4.7109375" customWidth="1" collapsed="1"/>
  </cols>
  <sheetData>
    <row r="1" spans="2:32" ht="3" customHeight="1"/>
    <row r="2" spans="2:32" ht="50.1" customHeight="1">
      <c r="B2" s="144" t="str">
        <f>"Ur TAX
"&amp;ROUND('ANNEXURE II'!I64,0)</f>
        <v>Ur TAX
9948</v>
      </c>
      <c r="C2" s="892" t="s">
        <v>844</v>
      </c>
      <c r="D2" s="893"/>
      <c r="E2" s="893"/>
      <c r="F2" s="894"/>
      <c r="G2" s="155" t="s">
        <v>921</v>
      </c>
      <c r="I2" s="79" t="s">
        <v>230</v>
      </c>
      <c r="J2" s="80" t="s">
        <v>453</v>
      </c>
      <c r="K2" s="79" t="s">
        <v>452</v>
      </c>
      <c r="L2" s="156" t="s">
        <v>680</v>
      </c>
      <c r="N2" s="125" t="s">
        <v>433</v>
      </c>
      <c r="O2" s="126" t="s">
        <v>679</v>
      </c>
      <c r="P2" s="121" t="s">
        <v>254</v>
      </c>
      <c r="Q2" s="79" t="s">
        <v>498</v>
      </c>
      <c r="R2" s="133"/>
      <c r="S2" s="119" t="s">
        <v>271</v>
      </c>
      <c r="T2" s="120" t="s">
        <v>270</v>
      </c>
      <c r="U2" s="165" t="s">
        <v>678</v>
      </c>
      <c r="V2" s="164" t="s">
        <v>494</v>
      </c>
      <c r="W2" s="164" t="s">
        <v>677</v>
      </c>
      <c r="X2" s="164" t="s">
        <v>492</v>
      </c>
      <c r="Y2" s="165" t="s">
        <v>493</v>
      </c>
      <c r="Z2" s="16"/>
    </row>
    <row r="3" spans="2:32" ht="15" customHeight="1">
      <c r="B3" s="938" t="s">
        <v>432</v>
      </c>
      <c r="C3" s="895" t="s">
        <v>444</v>
      </c>
      <c r="D3" s="896"/>
      <c r="E3" s="896"/>
      <c r="F3" s="897"/>
      <c r="G3" s="907" t="s">
        <v>215</v>
      </c>
      <c r="H3" s="15"/>
      <c r="I3" s="77" t="s">
        <v>272</v>
      </c>
      <c r="J3" s="78">
        <v>0.12</v>
      </c>
      <c r="K3" s="22" t="s">
        <v>225</v>
      </c>
      <c r="L3" s="78"/>
      <c r="M3" s="15"/>
      <c r="N3" s="136">
        <v>43160</v>
      </c>
      <c r="O3" s="308">
        <v>0.22008</v>
      </c>
      <c r="P3" s="124">
        <v>500</v>
      </c>
      <c r="Q3" s="124"/>
      <c r="R3" s="134"/>
      <c r="S3" s="102">
        <f>IF(L18=0,0,1350)</f>
        <v>0</v>
      </c>
      <c r="T3" s="102">
        <f>IF(L19=0,0,K19)</f>
        <v>0</v>
      </c>
      <c r="U3" s="424">
        <v>43160</v>
      </c>
      <c r="V3" s="166">
        <f>IF(F14=N3,DAY(DATE(YEAR(N3),MONTH(N3)+1,1)-1)-E14,
  IF(F15=N3,DAY(DATE(YEAR(N3),MONTH(N3)+1,1)-1)-E15,
DAY(DATE(YEAR(N3),MONTH(N3)+1,1)-1)))</f>
        <v>31</v>
      </c>
      <c r="W3" s="605">
        <f>PRO!AM4</f>
        <v>39160</v>
      </c>
      <c r="X3" s="425">
        <f t="shared" ref="X3:X8" si="0">ROUND(W3/Y3*V3,0)</f>
        <v>39160</v>
      </c>
      <c r="Y3" s="163">
        <f>DAY(DATE(YEAR(N3),MONTH(N3)+1,1)-1)</f>
        <v>31</v>
      </c>
      <c r="AC3" s="160"/>
      <c r="AD3" s="161"/>
      <c r="AE3" s="161"/>
      <c r="AF3" s="161"/>
    </row>
    <row r="4" spans="2:32" ht="15" customHeight="1">
      <c r="B4" s="938"/>
      <c r="C4" s="898"/>
      <c r="D4" s="899"/>
      <c r="E4" s="899"/>
      <c r="F4" s="900"/>
      <c r="G4" s="907"/>
      <c r="H4" s="15"/>
      <c r="I4" s="77" t="s">
        <v>261</v>
      </c>
      <c r="J4" s="124"/>
      <c r="K4" s="22" t="s">
        <v>225</v>
      </c>
      <c r="L4" s="124"/>
      <c r="M4" s="15"/>
      <c r="N4" s="136">
        <v>43191</v>
      </c>
      <c r="O4" s="308">
        <v>0.22008</v>
      </c>
      <c r="P4" s="124">
        <v>500</v>
      </c>
      <c r="Q4" s="124"/>
      <c r="R4" s="134"/>
      <c r="S4" s="102">
        <f>IF(L18=0,0,IF(L18=1,1350,IF(L18=2,1035,IF(L18=3,1035))))</f>
        <v>0</v>
      </c>
      <c r="T4" s="102">
        <f>IF(L19=0,0,IF(L19=1,K19,IF(L19=2,ROUND(K19/30*23,0),IF(L19=3,ROUND(K19/30*23,0)))))</f>
        <v>0</v>
      </c>
      <c r="U4" s="424">
        <v>43191</v>
      </c>
      <c r="V4" s="166">
        <f>IF(F14=N4,DAY(DATE(YEAR(N4),MONTH(N4)+1,1)-1)-E14,
  IF(F15=N4,DAY(DATE(YEAR(N4),MONTH(N4)+1,1)-1)-E15,
DAY(DATE(YEAR(N4),MONTH(N4)+1,1)-1)))</f>
        <v>30</v>
      </c>
      <c r="W4" s="605">
        <f>PRO!AM5</f>
        <v>39160</v>
      </c>
      <c r="X4" s="425">
        <f t="shared" si="0"/>
        <v>39160</v>
      </c>
      <c r="Y4" s="163">
        <f t="shared" ref="Y4:Y8" si="1">DAY(DATE(YEAR(N4),MONTH(N4)+1,1)-1)</f>
        <v>30</v>
      </c>
      <c r="AC4" s="160"/>
      <c r="AD4" s="161"/>
      <c r="AE4" s="161"/>
      <c r="AF4" s="161"/>
    </row>
    <row r="5" spans="2:32" ht="15" customHeight="1">
      <c r="B5" s="856" t="s">
        <v>0</v>
      </c>
      <c r="C5" s="901" t="s">
        <v>666</v>
      </c>
      <c r="D5" s="902"/>
      <c r="E5" s="902"/>
      <c r="F5" s="903"/>
      <c r="G5" s="13">
        <v>39160</v>
      </c>
      <c r="H5" s="15"/>
      <c r="I5" s="77" t="s">
        <v>262</v>
      </c>
      <c r="J5" s="124"/>
      <c r="K5" s="22" t="s">
        <v>225</v>
      </c>
      <c r="L5" s="124"/>
      <c r="M5" s="15"/>
      <c r="N5" s="136">
        <v>43221</v>
      </c>
      <c r="O5" s="308">
        <v>0.24104</v>
      </c>
      <c r="P5" s="124">
        <v>500</v>
      </c>
      <c r="Q5" s="124"/>
      <c r="R5" s="134"/>
      <c r="S5" s="102">
        <f>IF(L18=0,0,IF(L18=1,1350,IF(L18=2,0,IF(L18=3,0))))</f>
        <v>0</v>
      </c>
      <c r="T5" s="102">
        <f>IF(L19=0,0,IF(L19=1,K19,IF(L19=2,0,IF(L19=3,0))))</f>
        <v>0</v>
      </c>
      <c r="U5" s="424">
        <v>43221</v>
      </c>
      <c r="V5" s="166">
        <f>IF(F14=N5,DAY(DATE(YEAR(N5),MONTH(N5)+1,1)-1)-E14,
  IF(F15=N5,DAY(DATE(YEAR(N5),MONTH(N5)+1,1)-1)-E15,
DAY(DATE(YEAR(N5),MONTH(N5)+1,1)-1)))</f>
        <v>31</v>
      </c>
      <c r="W5" s="605">
        <f>PRO!AM6</f>
        <v>39160</v>
      </c>
      <c r="X5" s="425">
        <f t="shared" si="0"/>
        <v>39160</v>
      </c>
      <c r="Y5" s="163">
        <f t="shared" si="1"/>
        <v>31</v>
      </c>
      <c r="AC5" s="160"/>
      <c r="AD5" s="161"/>
      <c r="AE5" s="161"/>
      <c r="AF5" s="161"/>
    </row>
    <row r="6" spans="2:32" ht="15" customHeight="1">
      <c r="B6" s="856"/>
      <c r="C6" s="901" t="s">
        <v>667</v>
      </c>
      <c r="D6" s="902"/>
      <c r="E6" s="902"/>
      <c r="F6" s="903"/>
      <c r="G6" s="340">
        <v>43313</v>
      </c>
      <c r="H6" s="15"/>
      <c r="I6" s="77" t="s">
        <v>213</v>
      </c>
      <c r="J6" s="123"/>
      <c r="K6" s="22" t="s">
        <v>225</v>
      </c>
      <c r="L6" s="123"/>
      <c r="M6" s="15"/>
      <c r="N6" s="136">
        <v>43252</v>
      </c>
      <c r="O6" s="168">
        <v>0.24104</v>
      </c>
      <c r="P6" s="124">
        <v>500</v>
      </c>
      <c r="Q6" s="124"/>
      <c r="R6" s="134"/>
      <c r="S6" s="102">
        <f>IF(L18=0,0,IF(L18=1,1350,IF(L18=2,855,IF(L18=3,855))))</f>
        <v>0</v>
      </c>
      <c r="T6" s="102">
        <f>IF(L19=0,0,IF(L19=1,K19,IF(L19=2,ROUND(K19/30*19,0),IF(L19=3,ROUND(K19/30*19,0)))))</f>
        <v>0</v>
      </c>
      <c r="U6" s="424">
        <v>43252</v>
      </c>
      <c r="V6" s="166">
        <f>IF(F14=N6,DAY(DATE(YEAR(N6),MONTH(N6)+1,1)-1)-E14,
  IF(F15=N6,DAY(DATE(YEAR(N6),MONTH(N6)+1,1)-1)-E15,
DAY(DATE(YEAR(N6),MONTH(N6)+1,1)-1)))</f>
        <v>30</v>
      </c>
      <c r="W6" s="605">
        <f>PRO!AM7</f>
        <v>39160</v>
      </c>
      <c r="X6" s="425">
        <f t="shared" si="0"/>
        <v>39160</v>
      </c>
      <c r="Y6" s="163">
        <f t="shared" si="1"/>
        <v>30</v>
      </c>
      <c r="AC6" s="160"/>
      <c r="AD6" s="161"/>
      <c r="AE6" s="161"/>
      <c r="AF6" s="161"/>
    </row>
    <row r="7" spans="2:32" ht="15" customHeight="1">
      <c r="B7" s="873" t="s">
        <v>662</v>
      </c>
      <c r="C7" s="904" t="s">
        <v>660</v>
      </c>
      <c r="D7" s="905"/>
      <c r="E7" s="905"/>
      <c r="F7" s="906"/>
      <c r="G7" s="18"/>
      <c r="H7" s="15"/>
      <c r="I7" s="77" t="s">
        <v>212</v>
      </c>
      <c r="J7" s="123"/>
      <c r="K7" s="22" t="s">
        <v>225</v>
      </c>
      <c r="L7" s="123"/>
      <c r="M7" s="15"/>
      <c r="N7" s="136">
        <v>43282</v>
      </c>
      <c r="O7" s="168">
        <v>0.24104</v>
      </c>
      <c r="P7" s="124">
        <v>500</v>
      </c>
      <c r="Q7" s="124"/>
      <c r="R7" s="134"/>
      <c r="S7" s="102">
        <f>IF(L18=0,0,1350)</f>
        <v>0</v>
      </c>
      <c r="T7" s="102">
        <f>IF(L19=0,0,K19)</f>
        <v>0</v>
      </c>
      <c r="U7" s="424">
        <v>43282</v>
      </c>
      <c r="V7" s="166">
        <f>IF(F14=N7,DAY(DATE(YEAR(N7),MONTH(N7)+1,1)-1)-E14,
  IF(F15=N7,DAY(DATE(YEAR(N7),MONTH(N7)+1,1)-1)-E15,
DAY(DATE(YEAR(N7),MONTH(N7)+1,1)-1)))</f>
        <v>31</v>
      </c>
      <c r="W7" s="605">
        <f>PRO!AM8</f>
        <v>39160</v>
      </c>
      <c r="X7" s="425">
        <f t="shared" si="0"/>
        <v>39160</v>
      </c>
      <c r="Y7" s="163">
        <f t="shared" si="1"/>
        <v>31</v>
      </c>
      <c r="AC7" s="160"/>
      <c r="AD7" s="161"/>
      <c r="AE7" s="161"/>
      <c r="AF7" s="161"/>
    </row>
    <row r="8" spans="2:32" ht="15" customHeight="1">
      <c r="B8" s="873"/>
      <c r="C8" s="904" t="s">
        <v>661</v>
      </c>
      <c r="D8" s="905"/>
      <c r="E8" s="905"/>
      <c r="F8" s="906"/>
      <c r="G8" s="586"/>
      <c r="H8" s="15"/>
      <c r="I8" s="77" t="s">
        <v>211</v>
      </c>
      <c r="J8" s="123"/>
      <c r="K8" s="22" t="s">
        <v>225</v>
      </c>
      <c r="L8" s="123"/>
      <c r="M8" s="15"/>
      <c r="N8" s="136">
        <v>43313</v>
      </c>
      <c r="O8" s="168">
        <v>0.24104</v>
      </c>
      <c r="P8" s="124">
        <v>500</v>
      </c>
      <c r="Q8" s="124"/>
      <c r="R8" s="134"/>
      <c r="S8" s="102">
        <f>IF(L18=0,0,1350)</f>
        <v>0</v>
      </c>
      <c r="T8" s="102">
        <f>IF(L19=0,0,K19)</f>
        <v>0</v>
      </c>
      <c r="U8" s="424">
        <v>43313</v>
      </c>
      <c r="V8" s="166">
        <f>IF(F14=N8,DAY(DATE(YEAR(N8),MONTH(N8)+1,1)-1)-E14,
  IF(F15=N8,DAY(DATE(YEAR(N8),MONTH(N8)+1,1)-1)-E15,
DAY(DATE(YEAR(N8),MONTH(N8)+1,1)-1)))</f>
        <v>31</v>
      </c>
      <c r="W8" s="605">
        <f>PRO!AM9</f>
        <v>40270</v>
      </c>
      <c r="X8" s="425">
        <f t="shared" si="0"/>
        <v>40270</v>
      </c>
      <c r="Y8" s="163">
        <f t="shared" si="1"/>
        <v>31</v>
      </c>
      <c r="AC8" s="160"/>
      <c r="AD8" s="161"/>
      <c r="AE8" s="161"/>
      <c r="AF8" s="161"/>
    </row>
    <row r="9" spans="2:32" ht="15" customHeight="1">
      <c r="B9" s="878" t="s">
        <v>896</v>
      </c>
      <c r="C9" s="733" t="s">
        <v>866</v>
      </c>
      <c r="D9" s="732"/>
      <c r="E9" s="732"/>
      <c r="F9" s="732"/>
      <c r="G9" s="745"/>
      <c r="H9" s="15"/>
      <c r="I9" s="89" t="s">
        <v>215</v>
      </c>
      <c r="J9" s="123">
        <v>4000</v>
      </c>
      <c r="K9" s="22" t="s">
        <v>225</v>
      </c>
      <c r="L9" s="123"/>
      <c r="M9" s="15"/>
      <c r="N9" s="136">
        <v>43344</v>
      </c>
      <c r="O9" s="308">
        <v>0.24104</v>
      </c>
      <c r="P9" s="124">
        <v>500</v>
      </c>
      <c r="Q9" s="124"/>
      <c r="R9" s="134"/>
      <c r="S9" s="102">
        <f>IF(L18=0,0,1350)</f>
        <v>0</v>
      </c>
      <c r="T9" s="102">
        <f>IF(L19=0,0,K19)</f>
        <v>0</v>
      </c>
      <c r="U9" s="424">
        <v>43344</v>
      </c>
      <c r="V9" s="166">
        <f>IF(F14=N9,DAY(DATE(YEAR(N9),MONTH(N9)+1,1)-1)-E14,
  IF(F15=N9,DAY(DATE(YEAR(N9),MONTH(N9)+1,1)-1)-E15,
DAY(DATE(YEAR(N9),MONTH(N9)+1,1)-1)))</f>
        <v>30</v>
      </c>
      <c r="W9" s="605">
        <f>PRO!AM10</f>
        <v>40270</v>
      </c>
      <c r="X9" s="425">
        <f t="shared" ref="X9:X14" si="2">ROUND(W9/Y9*V9,0)</f>
        <v>40270</v>
      </c>
      <c r="Y9" s="163">
        <f t="shared" ref="Y9:Y14" si="3">DAY(DATE(YEAR(N9),MONTH(N9)+1,1)-1)</f>
        <v>30</v>
      </c>
      <c r="AC9" s="160"/>
      <c r="AD9" s="161"/>
      <c r="AE9" s="161"/>
      <c r="AF9" s="161"/>
    </row>
    <row r="10" spans="2:32" ht="15" customHeight="1">
      <c r="B10" s="878"/>
      <c r="C10" s="733" t="s">
        <v>864</v>
      </c>
      <c r="D10" s="732"/>
      <c r="E10" s="732"/>
      <c r="F10" s="732"/>
      <c r="G10" s="18"/>
      <c r="H10" s="15"/>
      <c r="I10" s="89" t="s">
        <v>216</v>
      </c>
      <c r="J10" s="123">
        <v>1400</v>
      </c>
      <c r="K10" s="22" t="s">
        <v>225</v>
      </c>
      <c r="L10" s="123"/>
      <c r="M10" s="15"/>
      <c r="N10" s="136">
        <v>43374</v>
      </c>
      <c r="O10" s="308">
        <v>0.25675999999999999</v>
      </c>
      <c r="P10" s="124">
        <v>500</v>
      </c>
      <c r="Q10" s="124"/>
      <c r="R10" s="134"/>
      <c r="S10" s="584">
        <f>IF(L18=0,0,IF(L18=1,1350,IF(L18=2,ROUND((1350/31*19),0),IF(L18=3,1350,0))))</f>
        <v>0</v>
      </c>
      <c r="T10" s="584">
        <f>IF(L19=0,0,IF(L19=1,K19,IF(L19=2,ROUND((K19/31*19),0),IF(L19=3,K19,0))))</f>
        <v>0</v>
      </c>
      <c r="U10" s="424">
        <v>43374</v>
      </c>
      <c r="V10" s="166">
        <f>IF(F14=N10,DAY(DATE(YEAR(N10),MONTH(N10)+1,1)-1)-E14,
  IF(F15=N10,DAY(DATE(YEAR(N10),MONTH(N10)+1,1)-1)-E15,
DAY(DATE(YEAR(N10),MONTH(N10)+1,1)-1)))</f>
        <v>31</v>
      </c>
      <c r="W10" s="605">
        <f>PRO!AM11</f>
        <v>40270</v>
      </c>
      <c r="X10" s="425">
        <f t="shared" si="2"/>
        <v>40270</v>
      </c>
      <c r="Y10" s="163">
        <f t="shared" si="3"/>
        <v>31</v>
      </c>
      <c r="AC10" s="160"/>
      <c r="AD10" s="161"/>
      <c r="AE10" s="161"/>
      <c r="AF10" s="161"/>
    </row>
    <row r="11" spans="2:32" ht="15" customHeight="1">
      <c r="B11" s="878"/>
      <c r="C11" s="733" t="s">
        <v>865</v>
      </c>
      <c r="D11" s="732"/>
      <c r="E11" s="732"/>
      <c r="F11" s="732"/>
      <c r="G11" s="745"/>
      <c r="H11" s="15"/>
      <c r="I11" s="89" t="s">
        <v>217</v>
      </c>
      <c r="J11" s="123">
        <v>60</v>
      </c>
      <c r="K11" s="22" t="s">
        <v>225</v>
      </c>
      <c r="L11" s="123"/>
      <c r="M11" s="15"/>
      <c r="N11" s="136">
        <v>43405</v>
      </c>
      <c r="O11" s="308">
        <v>0.25675999999999999</v>
      </c>
      <c r="P11" s="124">
        <v>500</v>
      </c>
      <c r="Q11" s="124"/>
      <c r="R11" s="134"/>
      <c r="S11" s="102">
        <f>IF(L18=0,0,1350)</f>
        <v>0</v>
      </c>
      <c r="T11" s="102">
        <f>IF(L19=0,0,K19)</f>
        <v>0</v>
      </c>
      <c r="U11" s="424">
        <v>43405</v>
      </c>
      <c r="V11" s="166">
        <f>IF(F14=N11,DAY(DATE(YEAR(N11),MONTH(N11)+1,1)-1)-E14,
  IF(F15=N11,DAY(DATE(YEAR(N11),MONTH(N11)+1,1)-1)-E15,
DAY(DATE(YEAR(N11),MONTH(N11)+1,1)-1)))</f>
        <v>30</v>
      </c>
      <c r="W11" s="605">
        <f>PRO!AM12</f>
        <v>40270</v>
      </c>
      <c r="X11" s="425">
        <f t="shared" si="2"/>
        <v>40270</v>
      </c>
      <c r="Y11" s="163">
        <f t="shared" si="3"/>
        <v>30</v>
      </c>
      <c r="AC11" s="160"/>
      <c r="AD11" s="161"/>
      <c r="AE11" s="161"/>
      <c r="AF11" s="161"/>
    </row>
    <row r="12" spans="2:32" ht="15" customHeight="1">
      <c r="B12" s="832" t="s">
        <v>665</v>
      </c>
      <c r="C12" s="919" t="s">
        <v>663</v>
      </c>
      <c r="D12" s="920"/>
      <c r="E12" s="920"/>
      <c r="F12" s="921"/>
      <c r="G12" s="18"/>
      <c r="H12" s="15"/>
      <c r="I12" s="89" t="s">
        <v>218</v>
      </c>
      <c r="J12" s="123">
        <v>200</v>
      </c>
      <c r="K12" s="22" t="s">
        <v>225</v>
      </c>
      <c r="L12" s="123"/>
      <c r="M12" s="15"/>
      <c r="N12" s="136">
        <v>43435</v>
      </c>
      <c r="O12" s="168">
        <v>0.25675999999999999</v>
      </c>
      <c r="P12" s="124">
        <v>500</v>
      </c>
      <c r="Q12" s="124"/>
      <c r="R12" s="134"/>
      <c r="S12" s="102">
        <f>IF(L18=0,0,1350)</f>
        <v>0</v>
      </c>
      <c r="T12" s="102">
        <f>IF(L19=0,0,K19)</f>
        <v>0</v>
      </c>
      <c r="U12" s="424">
        <v>43435</v>
      </c>
      <c r="V12" s="166">
        <f>IF(F14=N12,DAY(DATE(YEAR(N12),MONTH(N12)+1,1)-1)-E14,
  IF(F15=N12,DAY(DATE(YEAR(N12),MONTH(N12)+1,1)-1)-E15,
DAY(DATE(YEAR(N12),MONTH(N12)+1,1)-1)))</f>
        <v>31</v>
      </c>
      <c r="W12" s="605">
        <f>PRO!AM13</f>
        <v>40270</v>
      </c>
      <c r="X12" s="425">
        <f t="shared" si="2"/>
        <v>40270</v>
      </c>
      <c r="Y12" s="163">
        <f t="shared" si="3"/>
        <v>31</v>
      </c>
      <c r="AC12" s="160"/>
      <c r="AD12" s="161"/>
      <c r="AE12" s="161"/>
      <c r="AF12" s="161"/>
    </row>
    <row r="13" spans="2:32" ht="15" customHeight="1">
      <c r="B13" s="833"/>
      <c r="C13" s="919" t="s">
        <v>664</v>
      </c>
      <c r="D13" s="920"/>
      <c r="E13" s="920"/>
      <c r="F13" s="921"/>
      <c r="G13" s="586"/>
      <c r="H13" s="15"/>
      <c r="I13" s="89" t="s">
        <v>792</v>
      </c>
      <c r="J13" s="123">
        <v>90</v>
      </c>
      <c r="K13" s="22" t="s">
        <v>225</v>
      </c>
      <c r="L13" s="123"/>
      <c r="M13" s="15"/>
      <c r="N13" s="136">
        <v>43466</v>
      </c>
      <c r="O13" s="168">
        <v>0.25675999999999999</v>
      </c>
      <c r="P13" s="124">
        <v>500</v>
      </c>
      <c r="Q13" s="124"/>
      <c r="R13" s="134"/>
      <c r="S13" s="584">
        <f>IF(L18=0,0,IF(L18=1,1350,IF(L18=2,ROUND((1350/31*22),0),IF(L18=3,1350,0))))</f>
        <v>0</v>
      </c>
      <c r="T13" s="584">
        <f>IF(L19=0,0,IF(L19=1,K19,IF(L19=2,ROUND((K19/31*22),0),IF(L19=3,K19,0))))</f>
        <v>0</v>
      </c>
      <c r="U13" s="424">
        <v>43466</v>
      </c>
      <c r="V13" s="166">
        <f>IF(F14=N13,DAY(DATE(YEAR(N13),MONTH(N13)+1,1)-1)-E14,
  IF(F15=N13,DAY(DATE(YEAR(N13),MONTH(N13)+1,1)-1)-E15,
DAY(DATE(YEAR(N13),MONTH(N13)+1,1)-1)))</f>
        <v>31</v>
      </c>
      <c r="W13" s="605">
        <f>PRO!AM14</f>
        <v>40270</v>
      </c>
      <c r="X13" s="425">
        <f t="shared" si="2"/>
        <v>40270</v>
      </c>
      <c r="Y13" s="163">
        <f t="shared" si="3"/>
        <v>31</v>
      </c>
      <c r="AC13" s="160"/>
      <c r="AD13" s="161"/>
      <c r="AE13" s="161"/>
      <c r="AF13" s="161"/>
    </row>
    <row r="14" spans="2:32" ht="15" customHeight="1">
      <c r="B14" s="879" t="s">
        <v>867</v>
      </c>
      <c r="C14" s="922" t="s">
        <v>457</v>
      </c>
      <c r="D14" s="923"/>
      <c r="E14" s="631">
        <f>IF(F14="NOT AVAILABLE",0,IF(G14="",0,LOOKUP(G14,DAYS,PRO!BT2:BT32)))</f>
        <v>0</v>
      </c>
      <c r="F14" s="723" t="s">
        <v>459</v>
      </c>
      <c r="G14" s="630"/>
      <c r="H14" s="15"/>
      <c r="I14" s="89" t="s">
        <v>221</v>
      </c>
      <c r="J14" s="123"/>
      <c r="K14" s="22" t="s">
        <v>225</v>
      </c>
      <c r="L14" s="123"/>
      <c r="M14" s="15"/>
      <c r="N14" s="136">
        <v>43497</v>
      </c>
      <c r="O14" s="168">
        <v>0.25675999999999999</v>
      </c>
      <c r="P14" s="124"/>
      <c r="Q14" s="124"/>
      <c r="R14" s="134"/>
      <c r="S14" s="102">
        <f>IF(L18=0,0,1350)</f>
        <v>0</v>
      </c>
      <c r="T14" s="102">
        <f>IF(L19=0,0,K19)</f>
        <v>0</v>
      </c>
      <c r="U14" s="424">
        <v>43497</v>
      </c>
      <c r="V14" s="166">
        <f>IF(F14=N14,DAY(DATE(YEAR(N14),MONTH(N14)+1,1)-1)-E14,
  IF(F15=N14,DAY(DATE(YEAR(N14),MONTH(N14)+1,1)-1)-E15,
DAY(DATE(YEAR(N14),MONTH(N14)+1,1)-1)))</f>
        <v>28</v>
      </c>
      <c r="W14" s="605">
        <f>PRO!AM15</f>
        <v>40270</v>
      </c>
      <c r="X14" s="425">
        <f t="shared" si="2"/>
        <v>40270</v>
      </c>
      <c r="Y14" s="163">
        <f t="shared" si="3"/>
        <v>28</v>
      </c>
      <c r="AC14" s="160"/>
      <c r="AD14" s="161"/>
      <c r="AE14" s="161"/>
      <c r="AF14" s="161"/>
    </row>
    <row r="15" spans="2:32" ht="15" customHeight="1">
      <c r="B15" s="880"/>
      <c r="C15" s="922" t="s">
        <v>458</v>
      </c>
      <c r="D15" s="923"/>
      <c r="E15" s="631">
        <f>IF(F15="NOT AVAILABLE",0,IF(G15="",0,LOOKUP(G15,DAYS,PRO!BT2:BT32)))</f>
        <v>0</v>
      </c>
      <c r="F15" s="723" t="s">
        <v>459</v>
      </c>
      <c r="G15" s="630"/>
      <c r="H15" s="15"/>
      <c r="I15" s="153" t="s">
        <v>412</v>
      </c>
      <c r="J15" s="123"/>
      <c r="K15" s="22" t="s">
        <v>225</v>
      </c>
      <c r="L15" s="123"/>
      <c r="M15" s="15"/>
      <c r="N15" s="969" t="s">
        <v>645</v>
      </c>
      <c r="O15" s="970"/>
      <c r="P15" s="970"/>
      <c r="Q15" s="971"/>
      <c r="R15" s="134"/>
      <c r="S15" s="771" t="str">
        <f>IF(L18=0,"",IF(L18=1,"","APR = 23"))</f>
        <v/>
      </c>
      <c r="T15" s="772" t="str">
        <f>IF(L18=0,"",IF(L18=2,"OCT = 19",""))</f>
        <v/>
      </c>
      <c r="U15" s="834" t="s">
        <v>898</v>
      </c>
      <c r="V15" s="835"/>
      <c r="W15" s="835"/>
      <c r="X15" s="836"/>
      <c r="AC15" s="160"/>
      <c r="AD15" s="161"/>
      <c r="AE15" s="161"/>
      <c r="AF15" s="161"/>
    </row>
    <row r="16" spans="2:32" ht="15" customHeight="1">
      <c r="B16" s="881" t="s">
        <v>819</v>
      </c>
      <c r="C16" s="642" t="s">
        <v>682</v>
      </c>
      <c r="D16" s="642"/>
      <c r="E16" s="722"/>
      <c r="F16" s="721"/>
      <c r="G16" s="13">
        <v>38130</v>
      </c>
      <c r="H16" s="15"/>
      <c r="I16" s="89" t="s">
        <v>223</v>
      </c>
      <c r="J16" s="123">
        <v>20</v>
      </c>
      <c r="K16" s="336" t="s">
        <v>655</v>
      </c>
      <c r="L16" s="123">
        <v>300</v>
      </c>
      <c r="M16" s="15"/>
      <c r="N16" s="131" t="s">
        <v>883</v>
      </c>
      <c r="O16" s="131" t="s">
        <v>416</v>
      </c>
      <c r="P16" s="131" t="s">
        <v>259</v>
      </c>
      <c r="Q16" s="132" t="s">
        <v>210</v>
      </c>
      <c r="R16" s="134"/>
      <c r="S16" s="773" t="str">
        <f>IF(L18=0,"",IF(L18=1,"","JUN = 19"))</f>
        <v/>
      </c>
      <c r="T16" s="774" t="str">
        <f>IF(L18=0,"",IF(L18=2,"JAN = 22",""))</f>
        <v/>
      </c>
      <c r="U16" s="837"/>
      <c r="V16" s="838"/>
      <c r="W16" s="838"/>
      <c r="X16" s="839"/>
      <c r="AC16" s="160"/>
      <c r="AD16" s="161"/>
      <c r="AE16" s="161"/>
      <c r="AF16" s="161"/>
    </row>
    <row r="17" spans="2:34" ht="15" customHeight="1">
      <c r="B17" s="882"/>
      <c r="C17" s="642" t="s">
        <v>667</v>
      </c>
      <c r="D17" s="642"/>
      <c r="E17" s="722"/>
      <c r="F17" s="721"/>
      <c r="G17" s="340">
        <v>42948</v>
      </c>
      <c r="H17" s="15"/>
      <c r="I17" s="89" t="s">
        <v>222</v>
      </c>
      <c r="J17" s="123">
        <v>50</v>
      </c>
      <c r="K17" s="337" t="s">
        <v>656</v>
      </c>
      <c r="L17" s="123">
        <v>500</v>
      </c>
      <c r="M17" s="15"/>
      <c r="N17" s="130" t="s">
        <v>415</v>
      </c>
      <c r="O17" s="378">
        <f>IF(O18=0,PRO!AO13,0)</f>
        <v>0</v>
      </c>
      <c r="P17" s="378">
        <f>IF(P18=0,PRO!AO14,0)</f>
        <v>0</v>
      </c>
      <c r="Q17" s="379">
        <f>IF(Q18=0,PRO!AO15,0)</f>
        <v>0</v>
      </c>
      <c r="R17" s="134"/>
      <c r="AC17" s="160"/>
      <c r="AD17" s="161"/>
      <c r="AE17" s="161"/>
      <c r="AF17" s="161"/>
    </row>
    <row r="18" spans="2:34" ht="15" customHeight="1">
      <c r="B18" s="882"/>
      <c r="C18" s="643" t="s">
        <v>727</v>
      </c>
      <c r="D18" s="643"/>
      <c r="E18" s="643"/>
      <c r="F18" s="643"/>
      <c r="G18" s="340"/>
      <c r="H18" s="15"/>
      <c r="I18" s="105" t="s">
        <v>401</v>
      </c>
      <c r="J18" s="974" t="s">
        <v>9</v>
      </c>
      <c r="K18" s="975"/>
      <c r="L18" s="107">
        <f>IF(J18="NOT APPLICABLE",0,IF(J18="Without Holidays",1,IF(J18="With All Holidays",2,IF(J18="Summer Holidays Only",3,0))))</f>
        <v>0</v>
      </c>
      <c r="M18" s="15"/>
      <c r="N18" s="131" t="s">
        <v>431</v>
      </c>
      <c r="O18" s="380"/>
      <c r="P18" s="380"/>
      <c r="Q18" s="381"/>
      <c r="R18" s="134"/>
      <c r="S18" s="982" t="s">
        <v>900</v>
      </c>
      <c r="T18" s="983"/>
      <c r="U18" s="983"/>
      <c r="V18" s="983"/>
      <c r="W18" s="983"/>
      <c r="X18" s="984"/>
      <c r="AC18" s="160"/>
      <c r="AD18" s="161"/>
      <c r="AE18" s="161"/>
      <c r="AF18" s="161"/>
    </row>
    <row r="19" spans="2:34" ht="15" customHeight="1">
      <c r="B19" s="882"/>
      <c r="C19" s="643" t="s">
        <v>661</v>
      </c>
      <c r="D19" s="643"/>
      <c r="E19" s="719"/>
      <c r="F19" s="717"/>
      <c r="G19" s="586"/>
      <c r="H19" s="15"/>
      <c r="I19" s="106" t="s">
        <v>402</v>
      </c>
      <c r="J19" s="103" t="s">
        <v>208</v>
      </c>
      <c r="K19" s="309"/>
      <c r="L19" s="108">
        <f>IF(J19="YES",L18,0)</f>
        <v>0</v>
      </c>
      <c r="M19" s="15"/>
      <c r="N19" s="130" t="s">
        <v>870</v>
      </c>
      <c r="O19" s="378">
        <f>IF(O20=0,PRO!AQ13,0)</f>
        <v>0</v>
      </c>
      <c r="P19" s="378">
        <f>IF(P20=0,PRO!AQ14,0)</f>
        <v>0</v>
      </c>
      <c r="Q19" s="379">
        <f>IF(Q20=0,PRO!AQ15,0)</f>
        <v>0</v>
      </c>
      <c r="R19" s="134"/>
      <c r="S19" s="985"/>
      <c r="T19" s="986"/>
      <c r="U19" s="986"/>
      <c r="V19" s="986"/>
      <c r="W19" s="986"/>
      <c r="X19" s="987"/>
      <c r="AC19" s="160"/>
      <c r="AD19" s="161"/>
      <c r="AE19" s="161"/>
      <c r="AF19" s="161"/>
    </row>
    <row r="20" spans="2:34" ht="15" customHeight="1">
      <c r="B20" s="882"/>
      <c r="C20" s="641" t="s">
        <v>728</v>
      </c>
      <c r="D20" s="641"/>
      <c r="E20" s="641"/>
      <c r="F20" s="641"/>
      <c r="G20" s="340"/>
      <c r="H20" s="15"/>
      <c r="I20" s="972" t="s">
        <v>448</v>
      </c>
      <c r="J20" s="972"/>
      <c r="K20" s="972"/>
      <c r="L20" s="147"/>
      <c r="M20" s="15"/>
      <c r="N20" s="131" t="s">
        <v>431</v>
      </c>
      <c r="O20" s="380"/>
      <c r="P20" s="380"/>
      <c r="Q20" s="381"/>
      <c r="R20" s="134"/>
      <c r="S20" s="985"/>
      <c r="T20" s="986"/>
      <c r="U20" s="986"/>
      <c r="V20" s="986"/>
      <c r="W20" s="986"/>
      <c r="X20" s="987"/>
      <c r="AC20" s="160"/>
      <c r="AD20" s="161"/>
      <c r="AE20" s="161"/>
      <c r="AF20" s="161"/>
    </row>
    <row r="21" spans="2:34" ht="15" customHeight="1">
      <c r="B21" s="883"/>
      <c r="C21" s="641" t="s">
        <v>664</v>
      </c>
      <c r="D21" s="641"/>
      <c r="E21" s="720"/>
      <c r="F21" s="718"/>
      <c r="G21" s="585"/>
      <c r="H21" s="15"/>
      <c r="I21" s="973" t="str">
        <f>IF(J19="YES","Enter Ur Reader Allowance in the YELLOW cell","")</f>
        <v/>
      </c>
      <c r="J21" s="973"/>
      <c r="K21" s="973"/>
      <c r="L21" s="973"/>
      <c r="M21" s="15"/>
      <c r="N21" s="991" t="s">
        <v>899</v>
      </c>
      <c r="O21" s="992"/>
      <c r="P21" s="992"/>
      <c r="Q21" s="993"/>
      <c r="R21" s="134"/>
      <c r="S21" s="985"/>
      <c r="T21" s="986"/>
      <c r="U21" s="986"/>
      <c r="V21" s="986"/>
      <c r="W21" s="986"/>
      <c r="X21" s="987"/>
      <c r="AC21" s="160"/>
      <c r="AD21" s="161"/>
      <c r="AE21" s="161"/>
      <c r="AF21" s="161"/>
    </row>
    <row r="22" spans="2:34" ht="15" customHeight="1">
      <c r="B22" s="726">
        <f>IF(DATA!F22="NOT AVAILABLE",0,IF(DATA!F22="",0,LOOKUP(DATA!G22,DAYS,PRO!BT2:BT32)))</f>
        <v>0</v>
      </c>
      <c r="C22" s="443" t="s">
        <v>722</v>
      </c>
      <c r="D22" s="443"/>
      <c r="E22" s="443"/>
      <c r="F22" s="724" t="s">
        <v>459</v>
      </c>
      <c r="G22" s="527"/>
      <c r="H22" s="15"/>
      <c r="I22" s="976" t="s">
        <v>906</v>
      </c>
      <c r="J22" s="977"/>
      <c r="K22" s="977"/>
      <c r="L22" s="978"/>
      <c r="M22" s="15"/>
      <c r="N22" s="994"/>
      <c r="O22" s="995"/>
      <c r="P22" s="995"/>
      <c r="Q22" s="996"/>
      <c r="R22" s="134"/>
      <c r="S22" s="985"/>
      <c r="T22" s="986"/>
      <c r="U22" s="986"/>
      <c r="V22" s="986"/>
      <c r="W22" s="986"/>
      <c r="X22" s="987"/>
      <c r="AC22" s="160"/>
      <c r="AD22" s="161"/>
      <c r="AE22" s="161"/>
      <c r="AF22" s="161"/>
    </row>
    <row r="23" spans="2:34" ht="15" customHeight="1">
      <c r="B23" s="725">
        <f>IF(DATA!F23="NOT AVAILABLE",0,IF(DATA!F23="",0,LOOKUP(DATA!G23,DAYS,PRO!BT2:BT32)))</f>
        <v>0</v>
      </c>
      <c r="C23" s="443" t="s">
        <v>723</v>
      </c>
      <c r="D23" s="443"/>
      <c r="E23" s="443"/>
      <c r="F23" s="724" t="s">
        <v>459</v>
      </c>
      <c r="G23" s="527"/>
      <c r="H23" s="15"/>
      <c r="I23" s="979"/>
      <c r="J23" s="980"/>
      <c r="K23" s="980"/>
      <c r="L23" s="981"/>
      <c r="M23" s="15"/>
      <c r="N23" s="997"/>
      <c r="O23" s="998"/>
      <c r="P23" s="998"/>
      <c r="Q23" s="999"/>
      <c r="S23" s="988"/>
      <c r="T23" s="989"/>
      <c r="U23" s="989"/>
      <c r="V23" s="989"/>
      <c r="W23" s="989"/>
      <c r="X23" s="990"/>
      <c r="Z23" s="157"/>
      <c r="AA23" s="157"/>
      <c r="AB23" s="109"/>
      <c r="AC23" s="157"/>
      <c r="AD23" s="15"/>
      <c r="AE23" s="15"/>
      <c r="AF23" s="15"/>
      <c r="AG23" s="158"/>
      <c r="AH23" s="157"/>
    </row>
    <row r="24" spans="2:34" ht="15" customHeight="1">
      <c r="H24" s="15"/>
      <c r="M24" s="15"/>
      <c r="N24" s="747"/>
      <c r="O24" s="747"/>
      <c r="P24" s="747"/>
      <c r="Q24" s="747"/>
      <c r="Z24" s="157"/>
      <c r="AA24" s="157"/>
      <c r="AB24" s="109"/>
      <c r="AC24" s="157"/>
      <c r="AD24" s="15"/>
      <c r="AE24" s="15"/>
      <c r="AF24" s="15"/>
      <c r="AG24" s="159"/>
      <c r="AH24" s="157"/>
    </row>
    <row r="25" spans="2:34" ht="15" customHeight="1">
      <c r="B25" s="791" t="s">
        <v>919</v>
      </c>
      <c r="C25" s="792" t="s">
        <v>918</v>
      </c>
      <c r="D25" s="793"/>
      <c r="E25" s="793"/>
      <c r="F25" s="793"/>
      <c r="G25" s="794"/>
      <c r="H25" s="15"/>
      <c r="I25" s="1013" t="s">
        <v>447</v>
      </c>
      <c r="J25" s="1014"/>
      <c r="K25" s="1014"/>
      <c r="L25" s="1015"/>
      <c r="M25" s="15"/>
      <c r="N25" s="34" t="s">
        <v>273</v>
      </c>
      <c r="O25" s="848"/>
      <c r="P25" s="849"/>
      <c r="Q25" s="850"/>
      <c r="R25" s="162"/>
      <c r="S25" s="1001" t="s">
        <v>398</v>
      </c>
      <c r="T25" s="1001"/>
      <c r="U25" s="332">
        <f>'ANNEXURE II'!I7</f>
        <v>747079</v>
      </c>
      <c r="W25" s="1000" t="s">
        <v>450</v>
      </c>
      <c r="X25" s="1000"/>
      <c r="AB25" s="109"/>
    </row>
    <row r="26" spans="2:34" ht="15" customHeight="1">
      <c r="B26" s="851" t="s">
        <v>885</v>
      </c>
      <c r="C26" s="800" t="s">
        <v>911</v>
      </c>
      <c r="D26" s="801"/>
      <c r="E26" s="790" t="s">
        <v>914</v>
      </c>
      <c r="F26" s="786" t="s">
        <v>915</v>
      </c>
      <c r="G26" s="787" t="s">
        <v>914</v>
      </c>
      <c r="H26" s="15"/>
      <c r="I26" s="1016"/>
      <c r="J26" s="1017"/>
      <c r="K26" s="1017"/>
      <c r="L26" s="1018"/>
      <c r="M26" s="104"/>
      <c r="N26" s="526" t="s">
        <v>791</v>
      </c>
      <c r="O26" s="884"/>
      <c r="P26" s="885"/>
      <c r="Q26" s="886"/>
      <c r="R26" s="134"/>
      <c r="S26" s="1003"/>
      <c r="T26" s="1003"/>
      <c r="U26" s="753"/>
      <c r="W26" s="1000"/>
      <c r="X26" s="1000"/>
      <c r="AB26" s="109"/>
    </row>
    <row r="27" spans="2:34" ht="15" customHeight="1">
      <c r="B27" s="852"/>
      <c r="C27" s="802" t="s">
        <v>912</v>
      </c>
      <c r="D27" s="803"/>
      <c r="E27" s="785" t="s">
        <v>914</v>
      </c>
      <c r="F27" s="788" t="s">
        <v>917</v>
      </c>
      <c r="G27" s="789" t="s">
        <v>916</v>
      </c>
      <c r="I27" s="1019"/>
      <c r="J27" s="1020"/>
      <c r="K27" s="1020"/>
      <c r="L27" s="1021"/>
      <c r="N27" s="35" t="s">
        <v>274</v>
      </c>
      <c r="O27" s="848"/>
      <c r="P27" s="849"/>
      <c r="Q27" s="850"/>
      <c r="R27" s="134"/>
      <c r="S27" s="829" t="s">
        <v>395</v>
      </c>
      <c r="T27" s="829"/>
      <c r="U27" s="333">
        <f>'ANNEXURE II'!I11</f>
        <v>37869</v>
      </c>
      <c r="W27" s="1000"/>
      <c r="X27" s="1000"/>
      <c r="AB27" s="110"/>
    </row>
    <row r="28" spans="2:34" ht="15" customHeight="1">
      <c r="B28" s="874" t="s">
        <v>496</v>
      </c>
      <c r="C28" s="556" t="s">
        <v>814</v>
      </c>
      <c r="D28" s="557"/>
      <c r="E28" s="558"/>
      <c r="F28" s="602">
        <f>IF(E26="MANUAL",0,RELIEF!J23)</f>
        <v>0</v>
      </c>
      <c r="G28" s="344">
        <v>13393</v>
      </c>
      <c r="H28" s="154"/>
      <c r="I28" s="843" t="s">
        <v>231</v>
      </c>
      <c r="J28" s="844"/>
      <c r="K28" s="845"/>
      <c r="L28" s="123"/>
      <c r="N28" s="34" t="s">
        <v>650</v>
      </c>
      <c r="O28" s="870"/>
      <c r="P28" s="871"/>
      <c r="Q28" s="872"/>
      <c r="R28" s="134"/>
      <c r="S28" s="924"/>
      <c r="T28" s="924"/>
      <c r="U28" s="334">
        <f>U25-U27</f>
        <v>709210</v>
      </c>
      <c r="AB28" s="111"/>
    </row>
    <row r="29" spans="2:34" ht="15" customHeight="1">
      <c r="B29" s="875"/>
      <c r="C29" s="556" t="s">
        <v>816</v>
      </c>
      <c r="D29" s="557"/>
      <c r="E29" s="558"/>
      <c r="F29" s="603">
        <f>IF(AND(G3="CPS",F28&gt;0),RELIEF!L28,IF(AND(G3="GPF",F28&gt;0),RELIEF!L23,0))</f>
        <v>0</v>
      </c>
      <c r="G29" s="344">
        <v>2053</v>
      </c>
      <c r="H29" s="19"/>
      <c r="I29" s="843" t="s">
        <v>232</v>
      </c>
      <c r="J29" s="844"/>
      <c r="K29" s="845"/>
      <c r="L29" s="123"/>
      <c r="M29" s="19"/>
      <c r="N29" s="34" t="s">
        <v>275</v>
      </c>
      <c r="O29" s="848"/>
      <c r="P29" s="849"/>
      <c r="Q29" s="850"/>
      <c r="R29" s="134"/>
      <c r="S29" s="829" t="s">
        <v>446</v>
      </c>
      <c r="T29" s="829"/>
      <c r="U29" s="333">
        <f>'ANNEXURE II'!I15</f>
        <v>2400</v>
      </c>
      <c r="V29" s="1"/>
      <c r="W29" s="122" t="s">
        <v>408</v>
      </c>
      <c r="X29" s="122" t="s">
        <v>407</v>
      </c>
    </row>
    <row r="30" spans="2:34" ht="15" customHeight="1">
      <c r="B30" s="876" t="s">
        <v>497</v>
      </c>
      <c r="C30" s="598" t="s">
        <v>817</v>
      </c>
      <c r="D30" s="599"/>
      <c r="E30" s="600"/>
      <c r="F30" s="603">
        <f>IF(E27="MANUAL",0,RELIEF!J24)</f>
        <v>0</v>
      </c>
      <c r="G30" s="344">
        <v>9564</v>
      </c>
      <c r="H30" s="19"/>
      <c r="I30" s="843" t="s">
        <v>338</v>
      </c>
      <c r="J30" s="844"/>
      <c r="K30" s="845"/>
      <c r="L30" s="123"/>
      <c r="M30" s="19"/>
      <c r="N30" s="311" t="s">
        <v>649</v>
      </c>
      <c r="O30" s="889"/>
      <c r="P30" s="890"/>
      <c r="Q30" s="891"/>
      <c r="R30" s="748"/>
      <c r="S30" s="925"/>
      <c r="T30" s="925"/>
      <c r="U30" s="334">
        <f>U28-U29</f>
        <v>706810</v>
      </c>
      <c r="V30" s="167" t="s">
        <v>403</v>
      </c>
      <c r="W30" s="145">
        <f>'ANNEXURE II'!F53</f>
        <v>250000</v>
      </c>
      <c r="X30" s="335">
        <f>'ANNEXURE II'!H53</f>
        <v>0</v>
      </c>
      <c r="Y30" s="1"/>
      <c r="Z30" s="1"/>
      <c r="AA30" s="1"/>
      <c r="AB30" s="113"/>
      <c r="AD30" s="830" t="s">
        <v>386</v>
      </c>
      <c r="AE30" s="831"/>
    </row>
    <row r="31" spans="2:34" ht="15" customHeight="1">
      <c r="B31" s="877"/>
      <c r="C31" s="598" t="s">
        <v>815</v>
      </c>
      <c r="D31" s="599"/>
      <c r="E31" s="600"/>
      <c r="F31" s="603">
        <f>IF(AND(G3="CPS",F30&gt;0),RELIEF!L29,IF(AND(G3="GPF",F30&gt;0),RELIEF!L24,0))</f>
        <v>0</v>
      </c>
      <c r="G31" s="344">
        <v>940</v>
      </c>
      <c r="I31" s="843" t="s">
        <v>233</v>
      </c>
      <c r="J31" s="844"/>
      <c r="K31" s="845"/>
      <c r="L31" s="123">
        <v>25000</v>
      </c>
      <c r="N31" s="34" t="s">
        <v>276</v>
      </c>
      <c r="O31" s="848" t="s">
        <v>927</v>
      </c>
      <c r="P31" s="849"/>
      <c r="Q31" s="850"/>
      <c r="R31" s="748"/>
      <c r="S31" s="1002" t="s">
        <v>445</v>
      </c>
      <c r="T31" s="1002"/>
      <c r="U31" s="762">
        <f>'ANNEXURE II'!H17</f>
        <v>40000</v>
      </c>
      <c r="V31" s="167" t="s">
        <v>404</v>
      </c>
      <c r="W31" s="145">
        <f>'ANNEXURE II'!F54</f>
        <v>250000</v>
      </c>
      <c r="X31" s="335">
        <f>'ANNEXURE II'!H54</f>
        <v>12500</v>
      </c>
      <c r="Y31" s="1"/>
      <c r="Z31" s="1"/>
      <c r="AA31" s="1"/>
      <c r="AB31" s="113"/>
      <c r="AD31" s="2">
        <f>150000-AD32</f>
        <v>0</v>
      </c>
      <c r="AE31" s="4" t="s">
        <v>382</v>
      </c>
    </row>
    <row r="32" spans="2:34" ht="15" customHeight="1">
      <c r="B32" s="795" t="s">
        <v>882</v>
      </c>
      <c r="C32" s="796" t="s">
        <v>884</v>
      </c>
      <c r="D32" s="797"/>
      <c r="E32" s="797"/>
      <c r="F32" s="797"/>
      <c r="G32" s="798"/>
      <c r="I32" s="843" t="s">
        <v>234</v>
      </c>
      <c r="J32" s="844"/>
      <c r="K32" s="845"/>
      <c r="L32" s="123"/>
      <c r="N32" s="34" t="s">
        <v>277</v>
      </c>
      <c r="O32" s="848" t="s">
        <v>922</v>
      </c>
      <c r="P32" s="849"/>
      <c r="Q32" s="850"/>
      <c r="R32" s="749"/>
      <c r="S32" s="924"/>
      <c r="T32" s="924"/>
      <c r="U32" s="334">
        <f>U30-U31</f>
        <v>666810</v>
      </c>
      <c r="V32" s="167" t="s">
        <v>405</v>
      </c>
      <c r="W32" s="145">
        <f>'ANNEXURE II'!F55</f>
        <v>11770</v>
      </c>
      <c r="X32" s="335">
        <f>'ANNEXURE II'!H55</f>
        <v>2354</v>
      </c>
      <c r="Y32" s="1"/>
      <c r="Z32" s="1"/>
      <c r="AA32" s="1"/>
      <c r="AB32" s="114"/>
      <c r="AD32" s="2">
        <f>'ANNEXURE II'!I47</f>
        <v>150000</v>
      </c>
      <c r="AE32" s="4" t="s">
        <v>383</v>
      </c>
    </row>
    <row r="33" spans="2:31" ht="15" customHeight="1">
      <c r="B33" s="593" t="s">
        <v>849</v>
      </c>
      <c r="C33" s="559"/>
      <c r="D33" s="601" t="s">
        <v>256</v>
      </c>
      <c r="E33" s="559">
        <v>72446</v>
      </c>
      <c r="F33" s="913" t="s">
        <v>856</v>
      </c>
      <c r="G33" s="914"/>
      <c r="I33" s="843" t="s">
        <v>235</v>
      </c>
      <c r="J33" s="844"/>
      <c r="K33" s="845"/>
      <c r="L33" s="123"/>
      <c r="N33" s="34" t="s">
        <v>278</v>
      </c>
      <c r="O33" s="848" t="s">
        <v>922</v>
      </c>
      <c r="P33" s="849"/>
      <c r="Q33" s="850"/>
      <c r="R33" s="748"/>
      <c r="S33" s="829" t="s">
        <v>399</v>
      </c>
      <c r="T33" s="829"/>
      <c r="U33" s="333">
        <f>'ANNEXURE II'!I21</f>
        <v>15957</v>
      </c>
      <c r="V33" s="167" t="s">
        <v>406</v>
      </c>
      <c r="W33" s="145">
        <f>'ANNEXURE II'!F56</f>
        <v>0</v>
      </c>
      <c r="X33" s="335">
        <f>'ANNEXURE II'!H56</f>
        <v>0</v>
      </c>
      <c r="Y33" s="1"/>
      <c r="Z33" s="1"/>
      <c r="AA33" s="1"/>
      <c r="AB33" s="113"/>
      <c r="AD33" s="2">
        <f>'ANNEXURE II'!I32-'ANNEXURE II'!I47</f>
        <v>511772</v>
      </c>
      <c r="AE33" s="91" t="s">
        <v>381</v>
      </c>
    </row>
    <row r="34" spans="2:31" ht="15" customHeight="1">
      <c r="B34" s="593" t="s">
        <v>850</v>
      </c>
      <c r="C34" s="559"/>
      <c r="D34" s="911" t="s">
        <v>853</v>
      </c>
      <c r="E34" s="912"/>
      <c r="F34" s="915"/>
      <c r="G34" s="916"/>
      <c r="I34" s="843" t="s">
        <v>236</v>
      </c>
      <c r="J34" s="844"/>
      <c r="K34" s="845"/>
      <c r="L34" s="123"/>
      <c r="N34" s="34" t="s">
        <v>279</v>
      </c>
      <c r="O34" s="848" t="s">
        <v>923</v>
      </c>
      <c r="P34" s="849"/>
      <c r="Q34" s="850"/>
      <c r="R34" s="750"/>
      <c r="S34" s="924"/>
      <c r="T34" s="924"/>
      <c r="U34" s="334">
        <f>U32+U33</f>
        <v>682767</v>
      </c>
      <c r="V34" s="1"/>
      <c r="W34" s="827" t="str">
        <f>IF(DATA!U40&lt;=350000,"REBATE APPLIED","Rebate Not Applied")</f>
        <v>Rebate Not Applied</v>
      </c>
      <c r="X34" s="828"/>
      <c r="AB34" s="114"/>
      <c r="AD34" s="2">
        <f>ROUND(AD33-300004,0)</f>
        <v>211768</v>
      </c>
      <c r="AE34" s="4" t="s">
        <v>384</v>
      </c>
    </row>
    <row r="35" spans="2:31" ht="15" customHeight="1">
      <c r="B35" s="593" t="s">
        <v>851</v>
      </c>
      <c r="C35" s="559"/>
      <c r="D35" s="756" t="s">
        <v>218</v>
      </c>
      <c r="E35" s="559">
        <v>0</v>
      </c>
      <c r="F35" s="915"/>
      <c r="G35" s="916"/>
      <c r="I35" s="840" t="s">
        <v>288</v>
      </c>
      <c r="J35" s="841"/>
      <c r="K35" s="842"/>
      <c r="L35" s="123"/>
      <c r="N35" s="34" t="s">
        <v>280</v>
      </c>
      <c r="O35" s="848" t="s">
        <v>924</v>
      </c>
      <c r="P35" s="849"/>
      <c r="Q35" s="850"/>
      <c r="R35" s="748"/>
      <c r="S35" s="829" t="s">
        <v>410</v>
      </c>
      <c r="T35" s="829"/>
      <c r="U35" s="333">
        <f>'ANNEXURE II'!I31</f>
        <v>20995</v>
      </c>
      <c r="V35" s="1"/>
      <c r="W35" s="846" t="str">
        <f>IF('ANNEXURE II'!H62&gt;0,"RELIEF APPLIED","RELIEF  Not Applied")</f>
        <v>RELIEF  Not Applied</v>
      </c>
      <c r="X35" s="847"/>
      <c r="AB35" s="113"/>
      <c r="AD35" s="92">
        <f>MIN(AD31,AD34)</f>
        <v>0</v>
      </c>
      <c r="AE35" s="4" t="s">
        <v>385</v>
      </c>
    </row>
    <row r="36" spans="2:31" ht="15" customHeight="1">
      <c r="B36" s="593" t="s">
        <v>852</v>
      </c>
      <c r="C36" s="559"/>
      <c r="D36" s="757" t="s">
        <v>854</v>
      </c>
      <c r="E36" s="559">
        <v>7335</v>
      </c>
      <c r="F36" s="917"/>
      <c r="G36" s="918"/>
      <c r="I36" s="863" t="s">
        <v>359</v>
      </c>
      <c r="J36" s="863"/>
      <c r="K36" s="863"/>
      <c r="L36" s="123"/>
      <c r="N36" s="34" t="s">
        <v>281</v>
      </c>
      <c r="O36" s="864" t="s">
        <v>285</v>
      </c>
      <c r="P36" s="865"/>
      <c r="Q36" s="866"/>
      <c r="R36" s="748"/>
      <c r="S36" s="924"/>
      <c r="T36" s="924"/>
      <c r="U36" s="334">
        <f>U34-U35</f>
        <v>661772</v>
      </c>
      <c r="V36" s="1"/>
      <c r="W36" s="422" t="s">
        <v>718</v>
      </c>
      <c r="X36" s="423">
        <f>SUM(X30:X33)</f>
        <v>14854</v>
      </c>
      <c r="AB36" s="114"/>
    </row>
    <row r="37" spans="2:31" ht="15" customHeight="1">
      <c r="B37" s="169" t="s">
        <v>443</v>
      </c>
      <c r="C37" s="908" t="s">
        <v>794</v>
      </c>
      <c r="D37" s="909"/>
      <c r="E37" s="909"/>
      <c r="F37" s="910"/>
      <c r="G37" s="344"/>
      <c r="I37" s="863" t="s">
        <v>859</v>
      </c>
      <c r="J37" s="863"/>
      <c r="K37" s="863"/>
      <c r="L37" s="123"/>
      <c r="N37" s="34" t="s">
        <v>282</v>
      </c>
      <c r="O37" s="884" t="s">
        <v>286</v>
      </c>
      <c r="P37" s="885"/>
      <c r="Q37" s="886"/>
      <c r="R37" s="748"/>
      <c r="S37" s="888" t="s">
        <v>396</v>
      </c>
      <c r="T37" s="888"/>
      <c r="U37" s="333">
        <f>'ANNEXURE II'!I47</f>
        <v>150000</v>
      </c>
      <c r="V37" s="1"/>
      <c r="W37" s="118" t="s">
        <v>719</v>
      </c>
      <c r="X37" s="423">
        <f>'ANNEXURE II'!I59</f>
        <v>14854</v>
      </c>
      <c r="AB37" s="113"/>
    </row>
    <row r="38" spans="2:31" ht="15" customHeight="1">
      <c r="B38" s="592" t="s">
        <v>848</v>
      </c>
      <c r="C38" s="939" t="str">
        <f>CONCATENATE("RENT = ",CEILING(('ANNEXURE II'!H9+'ANNEXURE II'!M4)/12,100)," : Enter your Rent ►►►")</f>
        <v>RENT = 10000 : Enter your Rent ►►►</v>
      </c>
      <c r="D38" s="940"/>
      <c r="E38" s="940"/>
      <c r="F38" s="941"/>
      <c r="G38" s="344">
        <v>8300</v>
      </c>
      <c r="I38" s="843" t="s">
        <v>411</v>
      </c>
      <c r="J38" s="844"/>
      <c r="K38" s="845"/>
      <c r="L38" s="123"/>
      <c r="N38" s="34" t="s">
        <v>283</v>
      </c>
      <c r="O38" s="848"/>
      <c r="P38" s="849"/>
      <c r="Q38" s="850"/>
      <c r="R38" s="748"/>
      <c r="S38" s="887"/>
      <c r="T38" s="887"/>
      <c r="U38" s="334">
        <f>U36-U37</f>
        <v>511772</v>
      </c>
      <c r="V38" s="1"/>
      <c r="W38" s="118" t="s">
        <v>409</v>
      </c>
      <c r="X38" s="423">
        <f>'ANNEXURE II'!I61</f>
        <v>15448</v>
      </c>
      <c r="AB38" s="114"/>
    </row>
    <row r="39" spans="2:31" ht="15" customHeight="1">
      <c r="B39" s="853" t="s">
        <v>500</v>
      </c>
      <c r="C39" s="388" t="s">
        <v>237</v>
      </c>
      <c r="D39" s="553"/>
      <c r="E39" s="553"/>
      <c r="F39" s="391"/>
      <c r="G39" s="387">
        <v>15957</v>
      </c>
      <c r="I39" s="857" t="s">
        <v>413</v>
      </c>
      <c r="J39" s="858"/>
      <c r="K39" s="859"/>
      <c r="L39" s="123"/>
      <c r="N39" s="34" t="s">
        <v>843</v>
      </c>
      <c r="O39" s="889"/>
      <c r="P39" s="890"/>
      <c r="Q39" s="891"/>
      <c r="R39" s="748"/>
      <c r="S39" s="967" t="s">
        <v>397</v>
      </c>
      <c r="T39" s="967"/>
      <c r="U39" s="333">
        <f>SUM('ANNEXURE II'!I48:'ANNEXURE II'!I50)</f>
        <v>0</v>
      </c>
      <c r="V39" s="1"/>
      <c r="W39" s="118" t="s">
        <v>720</v>
      </c>
      <c r="X39" s="423">
        <f>X38-SUM(P3:P14)</f>
        <v>9948</v>
      </c>
      <c r="AB39" s="113"/>
    </row>
    <row r="40" spans="2:31" ht="15" customHeight="1">
      <c r="B40" s="854"/>
      <c r="C40" s="388" t="s">
        <v>238</v>
      </c>
      <c r="D40" s="553"/>
      <c r="E40" s="553"/>
      <c r="F40" s="391"/>
      <c r="G40" s="387"/>
      <c r="I40" s="867" t="str">
        <f>IF(G3="CPS","CPS Deduction 80CCD 1B (YES_NO)→","")</f>
        <v/>
      </c>
      <c r="J40" s="868"/>
      <c r="K40" s="869"/>
      <c r="L40" s="95" t="s">
        <v>376</v>
      </c>
      <c r="N40" s="34" t="s">
        <v>287</v>
      </c>
      <c r="O40" s="848"/>
      <c r="P40" s="849"/>
      <c r="Q40" s="850"/>
      <c r="R40" s="751"/>
      <c r="S40" s="887" t="s">
        <v>400</v>
      </c>
      <c r="T40" s="887"/>
      <c r="U40" s="334">
        <f>ROUND(U38-U39,-1)</f>
        <v>511770</v>
      </c>
      <c r="V40" s="1"/>
      <c r="W40" s="118" t="s">
        <v>721</v>
      </c>
      <c r="X40" s="423">
        <f>'ANNEXURE II'!I64</f>
        <v>9948</v>
      </c>
      <c r="AB40" s="114"/>
    </row>
    <row r="41" spans="2:31" ht="15" customHeight="1">
      <c r="B41" s="855"/>
      <c r="C41" s="388" t="s">
        <v>239</v>
      </c>
      <c r="D41" s="553"/>
      <c r="E41" s="553"/>
      <c r="F41" s="391"/>
      <c r="G41" s="387"/>
      <c r="N41" s="544" t="s">
        <v>284</v>
      </c>
      <c r="O41" s="860"/>
      <c r="P41" s="861"/>
      <c r="Q41" s="862"/>
      <c r="R41" s="752"/>
      <c r="S41" s="754"/>
      <c r="T41" s="754"/>
      <c r="U41" s="754"/>
      <c r="AB41" s="113"/>
    </row>
    <row r="42" spans="2:31" ht="15" customHeight="1">
      <c r="B42" s="959" t="s">
        <v>501</v>
      </c>
      <c r="C42" s="389" t="s">
        <v>240</v>
      </c>
      <c r="D42" s="554"/>
      <c r="E42" s="554"/>
      <c r="F42" s="392"/>
      <c r="G42" s="387">
        <v>19045</v>
      </c>
      <c r="I42" s="1022" t="str">
        <f>IF('ANNEXURE II'!I64=0,"మీ TAX = శూన్యం. మీ 80C SAVINGS ను
ఇంకా పెంచుకోవాల్సిన అవసరం లేదు.",
IF(AND('ANNEXURE II'!I64&gt;0,'ANNEXURE II'!I47&lt;150000),"మీ TAX =  "&amp;'ANNEXURE II'!I64&amp;" రూపాయలు.
మీ 80C SAVINGS ను
ఇంకా  "&amp;AD35&amp;" రూపాయల వరకు పెంచుకోవచ్చు.",
IF(AND('ANNEXURE II'!I64&gt;0,'ANNEXURE II'!I47&gt;=150000),"మీ TAX =  "&amp;'ANNEXURE II'!I64&amp;" రూపాయలు.
మీ 80C SAVINGS 1,50,000 రూపాయల
గరిష్ట స్థాయికి చేరుకున్నాయి.","మీరు అదనంగా TAX చెల్లించారు
అని భావిస్తున్నాం. ADVANCE TAX COLUMN ను ఒకసారి CHECK చేసుకోగలరు.")))</f>
        <v>మీ TAX =  9948 రూపాయలు.
మీ 80C SAVINGS 1,50,000 రూపాయల
గరిష్ట స్థాయికి చేరుకున్నాయి.</v>
      </c>
      <c r="J42" s="1023"/>
      <c r="K42" s="1023"/>
      <c r="L42" s="1024"/>
      <c r="N42" s="545" t="s">
        <v>806</v>
      </c>
      <c r="O42" s="860" t="s">
        <v>928</v>
      </c>
      <c r="P42" s="861"/>
      <c r="Q42" s="862"/>
      <c r="R42" s="748"/>
      <c r="S42" s="949" t="str">
        <f>O25&amp;"  గారు   2018-19 ఆర్ధిక సంవత్సరానికి
మీరు చెల్లించాల్సిన ఆదాయ పన్ను  "&amp;ROUND('ANNEXURE II'!I64,0)&amp;"  రూపాయలు."</f>
        <v xml:space="preserve">  గారు   2018-19 ఆర్ధిక సంవత్సరానికి
మీరు చెల్లించాల్సిన ఆదాయ పన్ను  9948  రూపాయలు.</v>
      </c>
      <c r="T42" s="950"/>
      <c r="U42" s="950"/>
      <c r="V42" s="950"/>
      <c r="W42" s="950"/>
      <c r="X42" s="951"/>
      <c r="AB42" s="114"/>
    </row>
    <row r="43" spans="2:31" ht="15" customHeight="1">
      <c r="B43" s="960"/>
      <c r="C43" s="389" t="s">
        <v>434</v>
      </c>
      <c r="D43" s="554"/>
      <c r="E43" s="554"/>
      <c r="F43" s="392"/>
      <c r="G43" s="387"/>
      <c r="I43" s="1025"/>
      <c r="J43" s="1026"/>
      <c r="K43" s="1026"/>
      <c r="L43" s="1027"/>
      <c r="N43" s="545" t="s">
        <v>808</v>
      </c>
      <c r="O43" s="1031" t="s">
        <v>925</v>
      </c>
      <c r="P43" s="1031"/>
      <c r="Q43" s="1031"/>
      <c r="R43" s="748"/>
      <c r="S43" s="952"/>
      <c r="T43" s="953"/>
      <c r="U43" s="953"/>
      <c r="V43" s="953"/>
      <c r="W43" s="953"/>
      <c r="X43" s="954"/>
      <c r="AB43" s="114"/>
    </row>
    <row r="44" spans="2:31" ht="15" customHeight="1">
      <c r="B44" s="965" t="s">
        <v>502</v>
      </c>
      <c r="C44" s="388" t="s">
        <v>241</v>
      </c>
      <c r="D44" s="553"/>
      <c r="E44" s="553"/>
      <c r="F44" s="525"/>
      <c r="G44" s="387"/>
      <c r="I44" s="1025"/>
      <c r="J44" s="1026"/>
      <c r="K44" s="1026"/>
      <c r="L44" s="1027"/>
      <c r="N44" s="545" t="s">
        <v>804</v>
      </c>
      <c r="O44" s="961" t="s">
        <v>926</v>
      </c>
      <c r="P44" s="961"/>
      <c r="Q44" s="961"/>
      <c r="R44" s="750"/>
      <c r="S44" s="952"/>
      <c r="T44" s="953"/>
      <c r="U44" s="953"/>
      <c r="V44" s="953"/>
      <c r="W44" s="953"/>
      <c r="X44" s="954"/>
      <c r="AB44" s="114"/>
    </row>
    <row r="45" spans="2:31" ht="15" customHeight="1">
      <c r="B45" s="966"/>
      <c r="C45" s="388" t="s">
        <v>793</v>
      </c>
      <c r="D45" s="553"/>
      <c r="E45" s="553"/>
      <c r="F45" s="391"/>
      <c r="G45" s="387"/>
      <c r="I45" s="1025"/>
      <c r="J45" s="1026"/>
      <c r="K45" s="1026"/>
      <c r="L45" s="1027"/>
      <c r="N45" s="545" t="s">
        <v>805</v>
      </c>
      <c r="O45" s="961" t="s">
        <v>922</v>
      </c>
      <c r="P45" s="961"/>
      <c r="Q45" s="961"/>
      <c r="R45" s="748"/>
      <c r="S45" s="952"/>
      <c r="T45" s="953"/>
      <c r="U45" s="953"/>
      <c r="V45" s="953"/>
      <c r="W45" s="953"/>
      <c r="X45" s="954"/>
      <c r="AB45" s="115"/>
    </row>
    <row r="46" spans="2:31" ht="15" customHeight="1">
      <c r="B46" s="966"/>
      <c r="C46" s="390" t="s">
        <v>242</v>
      </c>
      <c r="D46" s="555"/>
      <c r="E46" s="555"/>
      <c r="F46" s="393"/>
      <c r="G46" s="387"/>
      <c r="I46" s="1025"/>
      <c r="J46" s="1026"/>
      <c r="K46" s="1026"/>
      <c r="L46" s="1027"/>
      <c r="N46" s="545" t="s">
        <v>807</v>
      </c>
      <c r="O46" s="961"/>
      <c r="P46" s="961"/>
      <c r="Q46" s="961"/>
      <c r="R46" s="127"/>
      <c r="S46" s="952"/>
      <c r="T46" s="953"/>
      <c r="U46" s="953"/>
      <c r="V46" s="953"/>
      <c r="W46" s="953"/>
      <c r="X46" s="954"/>
      <c r="Y46" s="1"/>
      <c r="Z46" s="1"/>
      <c r="AA46" s="1"/>
    </row>
    <row r="47" spans="2:31" ht="15" customHeight="1">
      <c r="B47" s="341" t="s">
        <v>668</v>
      </c>
      <c r="C47" s="958" t="s">
        <v>648</v>
      </c>
      <c r="D47" s="958"/>
      <c r="E47" s="958"/>
      <c r="F47" s="958"/>
      <c r="G47" s="344"/>
      <c r="I47" s="1028"/>
      <c r="J47" s="1029"/>
      <c r="K47" s="1029"/>
      <c r="L47" s="1030"/>
      <c r="M47" s="135"/>
      <c r="N47" s="962" t="str">
        <f>IF(AND(DATA!G38&lt;=3000),"YOU NEED NOT SUBMIT RENT RECEIPT",
  IF(AND(DATA!G38&gt;3000,DATA!G38&lt;=8333),"YOU SHOULD SUBMIT RENT RECEIPT without PAN",
  IF(AND(DATA!G38&gt;8333),"You should submit rent receipt WITH PAN of owner")))</f>
        <v>YOU SHOULD SUBMIT RENT RECEIPT without PAN</v>
      </c>
      <c r="O47" s="963"/>
      <c r="P47" s="963"/>
      <c r="Q47" s="964"/>
      <c r="R47" s="135"/>
      <c r="S47" s="955"/>
      <c r="T47" s="956"/>
      <c r="U47" s="956"/>
      <c r="V47" s="956"/>
      <c r="W47" s="956"/>
      <c r="X47" s="957"/>
    </row>
    <row r="48" spans="2:31" ht="15" customHeight="1">
      <c r="B48" s="578" t="s">
        <v>838</v>
      </c>
      <c r="C48" s="942" t="s">
        <v>839</v>
      </c>
      <c r="D48" s="943"/>
      <c r="E48" s="943"/>
      <c r="F48" s="943"/>
      <c r="G48" s="944"/>
      <c r="M48" s="135"/>
      <c r="R48" s="135"/>
    </row>
    <row r="49" spans="2:25" ht="15" customHeight="1">
      <c r="B49" s="579" t="s">
        <v>835</v>
      </c>
      <c r="C49" s="945" t="s">
        <v>834</v>
      </c>
      <c r="D49" s="945"/>
      <c r="E49" s="945"/>
      <c r="F49" s="577" t="s">
        <v>376</v>
      </c>
      <c r="G49" s="550">
        <v>269390</v>
      </c>
      <c r="I49" s="926" t="s">
        <v>905</v>
      </c>
      <c r="J49" s="927"/>
      <c r="K49" s="927"/>
      <c r="L49" s="928"/>
      <c r="M49" s="135"/>
      <c r="N49" s="1004" t="s">
        <v>904</v>
      </c>
      <c r="O49" s="1005"/>
      <c r="P49" s="1005"/>
      <c r="Q49" s="1006"/>
      <c r="R49" s="135"/>
      <c r="S49" s="1032" t="s">
        <v>897</v>
      </c>
      <c r="T49" s="1033"/>
      <c r="U49" s="1033"/>
      <c r="V49" s="1033"/>
      <c r="W49" s="1033"/>
      <c r="X49" s="1034"/>
    </row>
    <row r="50" spans="2:25" ht="15" customHeight="1">
      <c r="B50" s="580" t="s">
        <v>836</v>
      </c>
      <c r="C50" s="946" t="s">
        <v>841</v>
      </c>
      <c r="D50" s="946"/>
      <c r="E50" s="946"/>
      <c r="F50" s="577" t="s">
        <v>376</v>
      </c>
      <c r="G50" s="550">
        <v>387970</v>
      </c>
      <c r="I50" s="932" t="s">
        <v>901</v>
      </c>
      <c r="J50" s="933"/>
      <c r="K50" s="933"/>
      <c r="L50" s="934"/>
      <c r="M50" s="135"/>
      <c r="N50" s="1007"/>
      <c r="O50" s="1008"/>
      <c r="P50" s="1008"/>
      <c r="Q50" s="1009"/>
      <c r="R50" s="134"/>
      <c r="S50" s="1035"/>
      <c r="T50" s="1036"/>
      <c r="U50" s="1036"/>
      <c r="V50" s="1036"/>
      <c r="W50" s="1036"/>
      <c r="X50" s="1037"/>
    </row>
    <row r="51" spans="2:25" ht="15" customHeight="1">
      <c r="B51" s="581" t="s">
        <v>837</v>
      </c>
      <c r="C51" s="947" t="s">
        <v>842</v>
      </c>
      <c r="D51" s="947"/>
      <c r="E51" s="947"/>
      <c r="F51" s="577" t="s">
        <v>376</v>
      </c>
      <c r="G51" s="550">
        <v>497660</v>
      </c>
      <c r="I51" s="929" t="s">
        <v>902</v>
      </c>
      <c r="J51" s="930"/>
      <c r="K51" s="930"/>
      <c r="L51" s="931"/>
      <c r="M51" s="135"/>
      <c r="N51" s="1007"/>
      <c r="O51" s="1008"/>
      <c r="P51" s="1008"/>
      <c r="Q51" s="1009"/>
      <c r="S51" s="1035"/>
      <c r="T51" s="1036"/>
      <c r="U51" s="1036"/>
      <c r="V51" s="1036"/>
      <c r="W51" s="1036"/>
      <c r="X51" s="1037"/>
    </row>
    <row r="52" spans="2:25" ht="15" customHeight="1">
      <c r="B52" s="578" t="s">
        <v>838</v>
      </c>
      <c r="C52" s="948" t="s">
        <v>840</v>
      </c>
      <c r="D52" s="948"/>
      <c r="E52" s="948"/>
      <c r="F52" s="948"/>
      <c r="G52" s="948"/>
      <c r="H52" s="552"/>
      <c r="I52" s="935" t="s">
        <v>903</v>
      </c>
      <c r="J52" s="936"/>
      <c r="K52" s="936"/>
      <c r="L52" s="937"/>
      <c r="M52" s="135"/>
      <c r="N52" s="1010"/>
      <c r="O52" s="1011"/>
      <c r="P52" s="1011"/>
      <c r="Q52" s="1012"/>
      <c r="R52" s="552"/>
      <c r="S52" s="1038"/>
      <c r="T52" s="1039"/>
      <c r="U52" s="1039"/>
      <c r="V52" s="1039"/>
      <c r="W52" s="1039"/>
      <c r="X52" s="1040"/>
    </row>
    <row r="53" spans="2:25" ht="15" customHeight="1">
      <c r="B53" s="968" t="str">
        <f>IF('ANNEXURE II'!H62&gt;0,"CONGRATS! YOU WILL GET TAX RELIEF @ Rs. "&amp;'ANNEXURE II'!H62,"")</f>
        <v/>
      </c>
      <c r="C53" s="968"/>
      <c r="D53" s="968"/>
      <c r="E53" s="968"/>
      <c r="F53" s="968"/>
      <c r="G53" s="968"/>
      <c r="R53" s="134"/>
    </row>
    <row r="54" spans="2:25" ht="15.95" customHeight="1">
      <c r="H54" s="342"/>
      <c r="I54" s="746"/>
      <c r="J54" s="746"/>
      <c r="K54" s="746"/>
      <c r="L54" s="746"/>
      <c r="M54" s="445"/>
      <c r="R54" s="445"/>
    </row>
    <row r="55" spans="2:25" ht="15.95" customHeight="1">
      <c r="H55" s="342"/>
      <c r="I55" s="746"/>
      <c r="J55" s="746"/>
      <c r="K55" s="746"/>
      <c r="L55" s="746"/>
      <c r="M55" s="385"/>
      <c r="R55" s="149"/>
    </row>
    <row r="56" spans="2:25" ht="15.95" customHeight="1">
      <c r="H56" s="342"/>
      <c r="I56" s="746"/>
      <c r="J56" s="746"/>
      <c r="K56" s="746"/>
      <c r="L56" s="746"/>
      <c r="M56" s="385"/>
      <c r="R56" s="150"/>
    </row>
    <row r="57" spans="2:25" ht="15.95" customHeight="1">
      <c r="H57" s="342"/>
      <c r="I57" s="746"/>
      <c r="J57" s="746"/>
      <c r="K57" s="746"/>
      <c r="L57" s="746"/>
      <c r="M57" s="385"/>
      <c r="R57" s="148"/>
    </row>
    <row r="58" spans="2:25" ht="15" customHeight="1">
      <c r="B58" s="385"/>
      <c r="C58" s="446"/>
      <c r="D58" s="446"/>
      <c r="E58" s="446"/>
      <c r="F58" s="446"/>
      <c r="G58" s="446"/>
      <c r="I58" s="385"/>
    </row>
    <row r="59" spans="2:25" ht="15" customHeight="1">
      <c r="I59" s="1"/>
    </row>
    <row r="60" spans="2:25" ht="15" customHeight="1">
      <c r="R60" s="528"/>
      <c r="Y60" s="528"/>
    </row>
    <row r="61" spans="2:25" ht="15" customHeight="1"/>
    <row r="62" spans="2:25" ht="15" customHeight="1"/>
    <row r="63" spans="2:25">
      <c r="F63" s="112"/>
    </row>
    <row r="64" spans="2:25">
      <c r="M64" s="15"/>
      <c r="N64" s="15"/>
      <c r="O64" s="15"/>
      <c r="P64" s="15"/>
    </row>
    <row r="65" spans="2:17" ht="15.75">
      <c r="M65" s="15"/>
      <c r="N65" s="755"/>
      <c r="O65" s="755"/>
      <c r="P65" s="755"/>
      <c r="Q65" s="755"/>
    </row>
    <row r="68" spans="2:17">
      <c r="B68" s="594"/>
      <c r="C68" s="595"/>
    </row>
    <row r="69" spans="2:17">
      <c r="B69" s="595"/>
      <c r="C69" s="595"/>
    </row>
    <row r="70" spans="2:17">
      <c r="B70" s="595"/>
      <c r="C70" s="595"/>
    </row>
    <row r="71" spans="2:17">
      <c r="B71" s="595"/>
      <c r="C71" s="595"/>
      <c r="D71" s="447"/>
      <c r="E71" s="447"/>
    </row>
    <row r="72" spans="2:17">
      <c r="C72" s="447"/>
      <c r="D72" s="447"/>
      <c r="E72" s="447"/>
      <c r="F72" s="447"/>
      <c r="G72" s="447"/>
    </row>
    <row r="73" spans="2:17">
      <c r="C73" s="447"/>
      <c r="D73" s="447"/>
      <c r="E73" s="447"/>
      <c r="F73" s="447"/>
      <c r="G73" s="447"/>
    </row>
  </sheetData>
  <sheetProtection password="C6B1" sheet="1" objects="1" scenarios="1" selectLockedCells="1"/>
  <mergeCells count="108">
    <mergeCell ref="B53:G53"/>
    <mergeCell ref="N15:Q15"/>
    <mergeCell ref="I20:K20"/>
    <mergeCell ref="I21:L21"/>
    <mergeCell ref="O34:Q34"/>
    <mergeCell ref="J18:K18"/>
    <mergeCell ref="I22:L23"/>
    <mergeCell ref="S18:X23"/>
    <mergeCell ref="N21:Q23"/>
    <mergeCell ref="W25:X27"/>
    <mergeCell ref="S25:T25"/>
    <mergeCell ref="S31:T31"/>
    <mergeCell ref="S32:T32"/>
    <mergeCell ref="S26:T26"/>
    <mergeCell ref="N49:Q52"/>
    <mergeCell ref="S40:T40"/>
    <mergeCell ref="O38:Q38"/>
    <mergeCell ref="I25:L27"/>
    <mergeCell ref="I42:L47"/>
    <mergeCell ref="O44:Q44"/>
    <mergeCell ref="O45:Q45"/>
    <mergeCell ref="O43:Q43"/>
    <mergeCell ref="O25:Q25"/>
    <mergeCell ref="S49:X52"/>
    <mergeCell ref="I49:L49"/>
    <mergeCell ref="I51:L51"/>
    <mergeCell ref="I50:L50"/>
    <mergeCell ref="I52:L52"/>
    <mergeCell ref="S34:T34"/>
    <mergeCell ref="S36:T36"/>
    <mergeCell ref="C15:D15"/>
    <mergeCell ref="B3:B4"/>
    <mergeCell ref="C38:F38"/>
    <mergeCell ref="C48:G48"/>
    <mergeCell ref="C49:E49"/>
    <mergeCell ref="C50:E50"/>
    <mergeCell ref="C51:E51"/>
    <mergeCell ref="C52:G52"/>
    <mergeCell ref="S42:X47"/>
    <mergeCell ref="C47:F47"/>
    <mergeCell ref="B42:B43"/>
    <mergeCell ref="O46:Q46"/>
    <mergeCell ref="N47:Q47"/>
    <mergeCell ref="O42:Q42"/>
    <mergeCell ref="B44:B46"/>
    <mergeCell ref="O39:Q39"/>
    <mergeCell ref="O31:Q31"/>
    <mergeCell ref="S39:T39"/>
    <mergeCell ref="S38:T38"/>
    <mergeCell ref="O40:Q40"/>
    <mergeCell ref="S37:T37"/>
    <mergeCell ref="O29:Q29"/>
    <mergeCell ref="O30:Q30"/>
    <mergeCell ref="O33:Q33"/>
    <mergeCell ref="O37:Q37"/>
    <mergeCell ref="C2:F2"/>
    <mergeCell ref="C3:F4"/>
    <mergeCell ref="C5:F5"/>
    <mergeCell ref="C6:F6"/>
    <mergeCell ref="C7:F7"/>
    <mergeCell ref="G3:G4"/>
    <mergeCell ref="C8:F8"/>
    <mergeCell ref="C37:F37"/>
    <mergeCell ref="D34:E34"/>
    <mergeCell ref="F33:G36"/>
    <mergeCell ref="C12:F12"/>
    <mergeCell ref="C13:F13"/>
    <mergeCell ref="C14:D14"/>
    <mergeCell ref="S27:T27"/>
    <mergeCell ref="S28:T28"/>
    <mergeCell ref="S29:T29"/>
    <mergeCell ref="S30:T30"/>
    <mergeCell ref="B39:B41"/>
    <mergeCell ref="B5:B6"/>
    <mergeCell ref="I39:K39"/>
    <mergeCell ref="I38:K38"/>
    <mergeCell ref="O41:Q41"/>
    <mergeCell ref="I37:K37"/>
    <mergeCell ref="O36:Q36"/>
    <mergeCell ref="I36:K36"/>
    <mergeCell ref="I40:K40"/>
    <mergeCell ref="O35:Q35"/>
    <mergeCell ref="O28:Q28"/>
    <mergeCell ref="O27:Q27"/>
    <mergeCell ref="B7:B8"/>
    <mergeCell ref="B28:B29"/>
    <mergeCell ref="B30:B31"/>
    <mergeCell ref="B9:B11"/>
    <mergeCell ref="B14:B15"/>
    <mergeCell ref="B16:B21"/>
    <mergeCell ref="O26:Q26"/>
    <mergeCell ref="W34:X34"/>
    <mergeCell ref="S35:T35"/>
    <mergeCell ref="AD30:AE30"/>
    <mergeCell ref="B12:B13"/>
    <mergeCell ref="U15:X16"/>
    <mergeCell ref="S33:T33"/>
    <mergeCell ref="I35:K35"/>
    <mergeCell ref="I28:K28"/>
    <mergeCell ref="I29:K29"/>
    <mergeCell ref="I30:K30"/>
    <mergeCell ref="I31:K31"/>
    <mergeCell ref="I32:K32"/>
    <mergeCell ref="I33:K33"/>
    <mergeCell ref="I34:K34"/>
    <mergeCell ref="W35:X35"/>
    <mergeCell ref="O32:Q32"/>
    <mergeCell ref="B26:B27"/>
  </mergeCells>
  <conditionalFormatting sqref="I40:L40">
    <cfRule type="expression" dxfId="20" priority="57">
      <formula>$G$3="GPF"</formula>
    </cfRule>
  </conditionalFormatting>
  <conditionalFormatting sqref="I42">
    <cfRule type="expression" dxfId="19" priority="68">
      <formula>#REF!&gt;=150000</formula>
    </cfRule>
  </conditionalFormatting>
  <conditionalFormatting sqref="K19">
    <cfRule type="expression" dxfId="18" priority="19">
      <formula>$J$19="YES"</formula>
    </cfRule>
  </conditionalFormatting>
  <conditionalFormatting sqref="I21:L21">
    <cfRule type="expression" dxfId="17" priority="18">
      <formula>$J$19="YES"</formula>
    </cfRule>
  </conditionalFormatting>
  <conditionalFormatting sqref="B68:C71">
    <cfRule type="expression" dxfId="16" priority="85">
      <formula>$D$34="Follow the colour Rule"</formula>
    </cfRule>
  </conditionalFormatting>
  <conditionalFormatting sqref="V14">
    <cfRule type="cellIs" dxfId="15" priority="3" operator="lessThan">
      <formula>28</formula>
    </cfRule>
    <cfRule type="cellIs" dxfId="14" priority="7" operator="lessThan">
      <formula>28</formula>
    </cfRule>
  </conditionalFormatting>
  <conditionalFormatting sqref="V4 V6 V9 V11">
    <cfRule type="cellIs" dxfId="13" priority="5" operator="lessThan">
      <formula>30</formula>
    </cfRule>
  </conditionalFormatting>
  <conditionalFormatting sqref="V3 V5 V7:V8 V10 V12:V13">
    <cfRule type="cellIs" dxfId="12" priority="4" operator="lessThan">
      <formula>31</formula>
    </cfRule>
  </conditionalFormatting>
  <conditionalFormatting sqref="S3:S14">
    <cfRule type="uniqueValues" dxfId="11" priority="2"/>
  </conditionalFormatting>
  <conditionalFormatting sqref="T3:T14">
    <cfRule type="uniqueValues" dxfId="10" priority="1"/>
  </conditionalFormatting>
  <dataValidations count="27">
    <dataValidation type="list" allowBlank="1" showInputMessage="1" showErrorMessage="1" sqref="G5 G16">
      <formula1>BASICS</formula1>
    </dataValidation>
    <dataValidation type="list" showInputMessage="1" showErrorMessage="1" sqref="G6">
      <formula1>INC_AAS_MONTH</formula1>
    </dataValidation>
    <dataValidation type="list" allowBlank="1" showInputMessage="1" showErrorMessage="1" sqref="G3">
      <formula1>"CPS,GPF"</formula1>
    </dataValidation>
    <dataValidation type="list" showInputMessage="1" showErrorMessage="1" sqref="J3 L3">
      <formula1>HRA</formula1>
    </dataValidation>
    <dataValidation type="list" allowBlank="1" showInputMessage="1" sqref="I35:I37 J36:K37">
      <formula1>OTHER_SAVINGS_LIST</formula1>
    </dataValidation>
    <dataValidation type="list" showInputMessage="1" showErrorMessage="1" sqref="J19">
      <formula1>YES_NO</formula1>
    </dataValidation>
    <dataValidation type="list" showInputMessage="1" showErrorMessage="1" sqref="J18:K18">
      <formula1>PH_SELECTION</formula1>
    </dataValidation>
    <dataValidation type="list" showInputMessage="1" showErrorMessage="1" sqref="L40">
      <formula1>IF($G$3="CPS",YES_NO,$H$2)</formula1>
    </dataValidation>
    <dataValidation type="list" showInputMessage="1" showErrorMessage="1" sqref="G14 G22">
      <formula1>DAYS</formula1>
    </dataValidation>
    <dataValidation type="list" showInputMessage="1" showErrorMessage="1" sqref="O3:O5">
      <formula1>"22.008%,24.104%"</formula1>
    </dataValidation>
    <dataValidation type="list" showInputMessage="1" sqref="L16">
      <formula1>CMRF</formula1>
    </dataValidation>
    <dataValidation type="list" allowBlank="1" showInputMessage="1" sqref="L17">
      <formula1>CMRF</formula1>
    </dataValidation>
    <dataValidation type="list" showInputMessage="1" showErrorMessage="1" sqref="G21 G13">
      <formula1>ELs</formula1>
    </dataValidation>
    <dataValidation type="list" allowBlank="1" showInputMessage="1" showErrorMessage="1" sqref="G7 G10">
      <formula1>INC_AAS_MONTH</formula1>
    </dataValidation>
    <dataValidation type="list" showInputMessage="1" showErrorMessage="1" sqref="G12">
      <formula1>EL_MONTH</formula1>
    </dataValidation>
    <dataValidation type="list" allowBlank="1" showInputMessage="1" showErrorMessage="1" sqref="G19 G14 G8 G11">
      <formula1>DATES</formula1>
    </dataValidation>
    <dataValidation type="list" allowBlank="1" showInputMessage="1" showErrorMessage="1" sqref="G23 G15">
      <formula1>DAYS</formula1>
    </dataValidation>
    <dataValidation type="list" allowBlank="1" showInputMessage="1" showErrorMessage="1" sqref="F49:F51">
      <formula1>YES_NO</formula1>
    </dataValidation>
    <dataValidation type="list" showInputMessage="1" showErrorMessage="1" sqref="G9">
      <formula1>"Not Applicable,,Increment Dt,Promotion Dt"</formula1>
    </dataValidation>
    <dataValidation type="list" showInputMessage="1" showErrorMessage="1" sqref="F14:F15">
      <formula1>HPLM2018</formula1>
    </dataValidation>
    <dataValidation type="list" showInputMessage="1" showErrorMessage="1" sqref="O9:O11">
      <formula1>"24.104%,25.676%"</formula1>
    </dataValidation>
    <dataValidation type="list" allowBlank="1" showInputMessage="1" showErrorMessage="1" sqref="G17:G18 G20">
      <formula1>GENM2017</formula1>
    </dataValidation>
    <dataValidation type="list" allowBlank="1" showInputMessage="1" showErrorMessage="1" sqref="F22:F23">
      <formula1>HPLM2017</formula1>
    </dataValidation>
    <dataValidation type="list" showInputMessage="1" showErrorMessage="1" sqref="K3:K15">
      <formula1>Deduction_Months</formula1>
    </dataValidation>
    <dataValidation type="list" allowBlank="1" showInputMessage="1" showErrorMessage="1" sqref="G9">
      <formula1>"Not Applicable,Increment Dt,Promotion Dt"</formula1>
    </dataValidation>
    <dataValidation type="list" allowBlank="1" showInputMessage="1" showErrorMessage="1" sqref="E26">
      <formula1>DA1M</formula1>
    </dataValidation>
    <dataValidation type="list" allowBlank="1" showInputMessage="1" showErrorMessage="1" sqref="E27">
      <formula1>DA2M</formula1>
    </dataValidation>
  </dataValidations>
  <printOptions horizontalCentered="1" verticalCentered="1"/>
  <pageMargins left="0.25" right="0.25" top="0.75" bottom="0.75" header="0.3" footer="0.3"/>
  <pageSetup paperSize="9" scale="6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6" id="{5C7303C1-9800-4DDE-8CDC-248E9115A4AB}">
            <xm:f>'ANNEXURE II'!$I$64&lt;0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expression" priority="67" id="{3F33BE4C-B302-4C8E-90D2-869411A63F7D}">
            <xm:f>'ANNEXURE II'!$I$64=0</xm:f>
            <x14:dxf>
              <fill>
                <patternFill>
                  <bgColor rgb="FF92D050"/>
                </patternFill>
              </fill>
            </x14:dxf>
          </x14:cfRule>
          <xm:sqref>I42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  <pageSetUpPr fitToPage="1"/>
  </sheetPr>
  <dimension ref="B1:AA32"/>
  <sheetViews>
    <sheetView showGridLines="0" showRowColHeaders="0" showZeros="0" showRuler="0" zoomScaleNormal="100" zoomScaleSheetLayoutView="100" workbookViewId="0">
      <pane xSplit="2" ySplit="4" topLeftCell="C5" activePane="bottomRight" state="frozen"/>
      <selection activeCell="B72" sqref="B72:J72"/>
      <selection pane="topRight" activeCell="B72" sqref="B72:J72"/>
      <selection pane="bottomLeft" activeCell="B72" sqref="B72:J72"/>
      <selection pane="bottomRight" activeCell="C27" sqref="C27:AA27"/>
    </sheetView>
  </sheetViews>
  <sheetFormatPr defaultColWidth="9.140625" defaultRowHeight="15.75"/>
  <cols>
    <col min="1" max="1" width="1.28515625" style="62" customWidth="1" collapsed="1"/>
    <col min="2" max="2" width="9.28515625" style="62" customWidth="1" collapsed="1"/>
    <col min="3" max="3" width="7.7109375" style="62" customWidth="1" collapsed="1"/>
    <col min="4" max="5" width="4.7109375" style="62" customWidth="1" collapsed="1"/>
    <col min="6" max="8" width="7" style="62" customWidth="1" collapsed="1"/>
    <col min="9" max="9" width="5.85546875" style="62" customWidth="1" collapsed="1"/>
    <col min="10" max="10" width="5.42578125" style="62" customWidth="1" collapsed="1"/>
    <col min="11" max="12" width="4.7109375" style="62" customWidth="1" collapsed="1"/>
    <col min="13" max="13" width="5.85546875" style="62" customWidth="1" collapsed="1"/>
    <col min="14" max="14" width="7.7109375" style="62" customWidth="1" collapsed="1"/>
    <col min="15" max="15" width="6.85546875" style="62" customWidth="1" collapsed="1"/>
    <col min="16" max="16" width="6" style="62" customWidth="1" collapsed="1"/>
    <col min="17" max="20" width="5" style="62" customWidth="1" collapsed="1"/>
    <col min="21" max="22" width="6" style="62" customWidth="1" collapsed="1"/>
    <col min="23" max="23" width="7" style="62" customWidth="1" collapsed="1"/>
    <col min="24" max="24" width="7.28515625" style="62" customWidth="1" collapsed="1"/>
    <col min="25" max="25" width="7.7109375" style="62" customWidth="1" collapsed="1"/>
    <col min="26" max="27" width="6.85546875" style="62" customWidth="1" collapsed="1"/>
    <col min="28" max="16384" width="9.140625" style="62" collapsed="1"/>
  </cols>
  <sheetData>
    <row r="1" spans="2:27" ht="5.0999999999999996" customHeight="1" thickBot="1"/>
    <row r="2" spans="2:27" ht="23.1" customHeight="1" thickTop="1">
      <c r="B2" s="315"/>
      <c r="C2" s="1043" t="str">
        <f>CONCATENATE(" Statement of Salary Particulars of Sri./Smt."," ",UPPER(DATA!O25)," , ",UPPER(DATA!O27)," , ","EMP.ID_",UPPER(DATA!O28)," , ","EMP.PAN_",UPPER(DATA!O29))</f>
        <v xml:space="preserve"> Statement of Salary Particulars of Sri./Smt.  ,  , EMP.ID_ , EMP.PAN_</v>
      </c>
      <c r="D2" s="1043"/>
      <c r="E2" s="1043"/>
      <c r="F2" s="1043"/>
      <c r="G2" s="1043"/>
      <c r="H2" s="1043"/>
      <c r="I2" s="1043"/>
      <c r="J2" s="1043"/>
      <c r="K2" s="1043"/>
      <c r="L2" s="1043"/>
      <c r="M2" s="1043"/>
      <c r="N2" s="1043"/>
      <c r="O2" s="1043"/>
      <c r="P2" s="1043"/>
      <c r="Q2" s="1043"/>
      <c r="R2" s="1043"/>
      <c r="S2" s="1043"/>
      <c r="T2" s="1043"/>
      <c r="U2" s="1043"/>
      <c r="V2" s="1043"/>
      <c r="W2" s="1043"/>
      <c r="X2" s="1043"/>
      <c r="Y2" s="1043"/>
      <c r="Z2" s="1043"/>
      <c r="AA2" s="1044"/>
    </row>
    <row r="3" spans="2:27" ht="23.1" customHeight="1" thickBot="1">
      <c r="B3" s="316"/>
      <c r="C3" s="1045" t="str">
        <f>CONCATENATE(UPPER(DATA!O31),"  ;  ",UPPER(DATA!O32),"_","VILLAGE","  ;  ",UPPER(DATA!O33),"_","MANDAL","  ;  ",UPPER(DATA!O34),"_","DISTRICT.","    ","( FINANCIAL YEAR","  :  2018-19 )")</f>
        <v>MEO  ;  DORNALA_VILLAGE  ;  DORNALA_MANDAL  ;  PRAKASAM_DISTRICT.    ( FINANCIAL YEAR  :  2018-19 )</v>
      </c>
      <c r="D3" s="1045"/>
      <c r="E3" s="1045"/>
      <c r="F3" s="1045"/>
      <c r="G3" s="1045"/>
      <c r="H3" s="1045"/>
      <c r="I3" s="1045"/>
      <c r="J3" s="1045"/>
      <c r="K3" s="1045"/>
      <c r="L3" s="1045"/>
      <c r="M3" s="1045"/>
      <c r="N3" s="1045"/>
      <c r="O3" s="1045"/>
      <c r="P3" s="1045"/>
      <c r="Q3" s="1045"/>
      <c r="R3" s="1045"/>
      <c r="S3" s="1045"/>
      <c r="T3" s="1045"/>
      <c r="U3" s="1045"/>
      <c r="V3" s="1045"/>
      <c r="W3" s="1045"/>
      <c r="X3" s="1045"/>
      <c r="Y3" s="1045"/>
      <c r="Z3" s="1045"/>
      <c r="AA3" s="1046"/>
    </row>
    <row r="4" spans="2:27" ht="45" customHeight="1" thickBot="1">
      <c r="B4" s="317" t="s">
        <v>4</v>
      </c>
      <c r="C4" s="318" t="s">
        <v>260</v>
      </c>
      <c r="D4" s="318" t="s">
        <v>261</v>
      </c>
      <c r="E4" s="318" t="s">
        <v>263</v>
      </c>
      <c r="F4" s="319" t="s">
        <v>259</v>
      </c>
      <c r="G4" s="319" t="s">
        <v>210</v>
      </c>
      <c r="H4" s="318" t="s">
        <v>258</v>
      </c>
      <c r="I4" s="319" t="s">
        <v>214</v>
      </c>
      <c r="J4" s="320" t="s">
        <v>257</v>
      </c>
      <c r="K4" s="321" t="s">
        <v>212</v>
      </c>
      <c r="L4" s="321" t="s">
        <v>211</v>
      </c>
      <c r="M4" s="321" t="s">
        <v>379</v>
      </c>
      <c r="N4" s="322" t="s">
        <v>256</v>
      </c>
      <c r="O4" s="323" t="str">
        <f>IF(DATA!G3="","GPF
CPF",DATA!G3)</f>
        <v>GPF</v>
      </c>
      <c r="P4" s="319" t="s">
        <v>216</v>
      </c>
      <c r="Q4" s="319" t="s">
        <v>217</v>
      </c>
      <c r="R4" s="324" t="s">
        <v>218</v>
      </c>
      <c r="S4" s="323" t="s">
        <v>219</v>
      </c>
      <c r="T4" s="320" t="s">
        <v>255</v>
      </c>
      <c r="U4" s="318" t="s">
        <v>264</v>
      </c>
      <c r="V4" s="318" t="s">
        <v>265</v>
      </c>
      <c r="W4" s="318" t="s">
        <v>254</v>
      </c>
      <c r="X4" s="318" t="s">
        <v>253</v>
      </c>
      <c r="Y4" s="325" t="s">
        <v>252</v>
      </c>
      <c r="Z4" s="325" t="s">
        <v>251</v>
      </c>
      <c r="AA4" s="326" t="s">
        <v>250</v>
      </c>
    </row>
    <row r="5" spans="2:27" ht="18.95" customHeight="1">
      <c r="B5" s="37">
        <f>DATA!N3</f>
        <v>43160</v>
      </c>
      <c r="C5" s="38">
        <f>DATA!X3</f>
        <v>39160</v>
      </c>
      <c r="D5" s="38">
        <f>DATA!J4</f>
        <v>0</v>
      </c>
      <c r="E5" s="38">
        <f>DATA!J5</f>
        <v>0</v>
      </c>
      <c r="F5" s="38">
        <f>ROUND(C5*AA5,0)</f>
        <v>8618</v>
      </c>
      <c r="G5" s="38">
        <f>IF(Z5=30%,MIN(ROUND(DATA!W3*Z5,0),20000),MIN(ROUND(DATA!W3*Z5,0),15000))</f>
        <v>4699</v>
      </c>
      <c r="H5" s="38">
        <f>DATA!J6</f>
        <v>0</v>
      </c>
      <c r="I5" s="38">
        <f>DATA!S3</f>
        <v>0</v>
      </c>
      <c r="J5" s="38">
        <f>DATA!T3</f>
        <v>0</v>
      </c>
      <c r="K5" s="38">
        <f>DATA!J7</f>
        <v>0</v>
      </c>
      <c r="L5" s="38">
        <f>DATA!J8</f>
        <v>0</v>
      </c>
      <c r="M5" s="38">
        <f>DATA!Q3</f>
        <v>0</v>
      </c>
      <c r="N5" s="38">
        <f>SUM(C5:M5)</f>
        <v>52477</v>
      </c>
      <c r="O5" s="38">
        <f>IF(PRO!BH4="CPS",PRO!BI4,PRO!BJ4)</f>
        <v>4000</v>
      </c>
      <c r="P5" s="38">
        <f>DATA!J10</f>
        <v>1400</v>
      </c>
      <c r="Q5" s="38">
        <f>DATA!J11</f>
        <v>60</v>
      </c>
      <c r="R5" s="38">
        <f>DATA!J12</f>
        <v>200</v>
      </c>
      <c r="S5" s="38">
        <f>DATA!J13</f>
        <v>90</v>
      </c>
      <c r="T5" s="38">
        <f>DATA!J16</f>
        <v>20</v>
      </c>
      <c r="U5" s="38">
        <f>DATA!J14</f>
        <v>0</v>
      </c>
      <c r="V5" s="38">
        <f>DATA!J15</f>
        <v>0</v>
      </c>
      <c r="W5" s="38">
        <f>DATA!P3</f>
        <v>500</v>
      </c>
      <c r="X5" s="38">
        <f>SUM(O5:W5)</f>
        <v>6270</v>
      </c>
      <c r="Y5" s="38">
        <f>N5-X5</f>
        <v>46207</v>
      </c>
      <c r="Z5" s="39">
        <f>DATA!J3</f>
        <v>0.12</v>
      </c>
      <c r="AA5" s="40">
        <f>DATA!O3</f>
        <v>0.22008</v>
      </c>
    </row>
    <row r="6" spans="2:27" ht="18.95" customHeight="1">
      <c r="B6" s="37">
        <f>DATA!N4</f>
        <v>43191</v>
      </c>
      <c r="C6" s="38">
        <f>DATA!X4</f>
        <v>39160</v>
      </c>
      <c r="D6" s="27">
        <f>IF(DATA!K4=B6,DATA!L4,D5)</f>
        <v>0</v>
      </c>
      <c r="E6" s="27">
        <f>IF(DATA!K5=B6,DATA!L5,E5)</f>
        <v>0</v>
      </c>
      <c r="F6" s="27">
        <f t="shared" ref="F6:F15" si="0">ROUND(C6*AA6,0)</f>
        <v>8618</v>
      </c>
      <c r="G6" s="38">
        <f>IF(Z6=30%,MIN(ROUND(DATA!W4*Z6,0),20000),MIN(ROUND(DATA!W4*Z6,0),15000))</f>
        <v>4699</v>
      </c>
      <c r="H6" s="27">
        <f>IF(DATA!K6=B6,DATA!L6,H5)</f>
        <v>0</v>
      </c>
      <c r="I6" s="27">
        <f>DATA!S4</f>
        <v>0</v>
      </c>
      <c r="J6" s="27">
        <f>DATA!T4</f>
        <v>0</v>
      </c>
      <c r="K6" s="27">
        <f>IF(DATA!K7=B6,DATA!L7,K5)</f>
        <v>0</v>
      </c>
      <c r="L6" s="27">
        <f>IF(DATA!K8=B6,DATA!L8,L5)</f>
        <v>0</v>
      </c>
      <c r="M6" s="38">
        <f>DATA!Q4</f>
        <v>0</v>
      </c>
      <c r="N6" s="27">
        <f t="shared" ref="N6:N18" si="1">SUM(C6:M6)</f>
        <v>52477</v>
      </c>
      <c r="O6" s="27">
        <f>IF(PRO!BH5="CPS",PRO!BI5,PRO!BJ5)</f>
        <v>4000</v>
      </c>
      <c r="P6" s="27">
        <f>IF(DATA!K10=B6,DATA!L10,P5)</f>
        <v>1400</v>
      </c>
      <c r="Q6" s="27">
        <f>IF(DATA!K11=B6,DATA!L11,Q5)</f>
        <v>60</v>
      </c>
      <c r="R6" s="27">
        <f>IF(DATA!K12=B6,DATA!L12,R5)</f>
        <v>200</v>
      </c>
      <c r="S6" s="27">
        <f>IF(DATA!K13=B6,DATA!L13,S5)</f>
        <v>90</v>
      </c>
      <c r="T6" s="27"/>
      <c r="U6" s="27">
        <f>IF(DATA!K14=B6,DATA!L14,U5)</f>
        <v>0</v>
      </c>
      <c r="V6" s="27">
        <f>IF(DATA!K15=B6,DATA!L15,V5)</f>
        <v>0</v>
      </c>
      <c r="W6" s="38">
        <f>DATA!P4</f>
        <v>500</v>
      </c>
      <c r="X6" s="27">
        <f t="shared" ref="X6:X16" si="2">SUM(O6:W6)</f>
        <v>6250</v>
      </c>
      <c r="Y6" s="27">
        <f t="shared" ref="Y6:Y16" si="3">N6-X6</f>
        <v>46227</v>
      </c>
      <c r="Z6" s="36">
        <f>IF(DATA!K3=B6,DATA!L3,Z5)</f>
        <v>0.12</v>
      </c>
      <c r="AA6" s="40">
        <f>DATA!O4</f>
        <v>0.22008</v>
      </c>
    </row>
    <row r="7" spans="2:27" ht="18.95" customHeight="1">
      <c r="B7" s="37">
        <f>DATA!N5</f>
        <v>43221</v>
      </c>
      <c r="C7" s="38">
        <f>DATA!X5</f>
        <v>39160</v>
      </c>
      <c r="D7" s="27">
        <f>IF(DATA!K4=B7,DATA!L4,D6)</f>
        <v>0</v>
      </c>
      <c r="E7" s="27">
        <f>IF(DATA!K5=B7,DATA!L5,E6)</f>
        <v>0</v>
      </c>
      <c r="F7" s="27">
        <f t="shared" si="0"/>
        <v>9439</v>
      </c>
      <c r="G7" s="38">
        <f>IF(Z7=30%,MIN(ROUND(DATA!W5*Z7,0),20000),MIN(ROUND(DATA!W5*Z7,0),15000))</f>
        <v>4699</v>
      </c>
      <c r="H7" s="27">
        <f>IF(DATA!K6=B7,DATA!L6,H6)</f>
        <v>0</v>
      </c>
      <c r="I7" s="27">
        <f>DATA!S5</f>
        <v>0</v>
      </c>
      <c r="J7" s="27">
        <f>DATA!T5</f>
        <v>0</v>
      </c>
      <c r="K7" s="27">
        <f>IF(DATA!K7=B7,DATA!L7,K6)</f>
        <v>0</v>
      </c>
      <c r="L7" s="27">
        <f>IF(DATA!K8=B7,DATA!L8,L6)</f>
        <v>0</v>
      </c>
      <c r="M7" s="38">
        <f>DATA!Q5</f>
        <v>0</v>
      </c>
      <c r="N7" s="27">
        <f t="shared" si="1"/>
        <v>53298</v>
      </c>
      <c r="O7" s="27">
        <f>IF(PRO!BH6="CPS",PRO!BI6,PRO!BJ6)</f>
        <v>4000</v>
      </c>
      <c r="P7" s="27">
        <f>IF(DATA!K10=B7,DATA!L10,P6)</f>
        <v>1400</v>
      </c>
      <c r="Q7" s="27">
        <f>IF(DATA!K11=B7,DATA!L11,Q6)</f>
        <v>60</v>
      </c>
      <c r="R7" s="27">
        <f>IF(DATA!K12=B7,DATA!L12,R6)</f>
        <v>200</v>
      </c>
      <c r="S7" s="27">
        <f>IF(DATA!K13=B7,DATA!L13,S6)</f>
        <v>90</v>
      </c>
      <c r="T7" s="27"/>
      <c r="U7" s="27">
        <f>IF(DATA!K14=B7,DATA!L14,U6)</f>
        <v>0</v>
      </c>
      <c r="V7" s="27">
        <f>IF(DATA!K15=B7,DATA!L15,V6)</f>
        <v>0</v>
      </c>
      <c r="W7" s="38">
        <f>DATA!P5</f>
        <v>500</v>
      </c>
      <c r="X7" s="27">
        <f t="shared" si="2"/>
        <v>6250</v>
      </c>
      <c r="Y7" s="27">
        <f t="shared" si="3"/>
        <v>47048</v>
      </c>
      <c r="Z7" s="36">
        <f>IF(DATA!K3=B7,DATA!L3,Z6)</f>
        <v>0.12</v>
      </c>
      <c r="AA7" s="40">
        <f>DATA!O5</f>
        <v>0.24104</v>
      </c>
    </row>
    <row r="8" spans="2:27" ht="18.95" customHeight="1">
      <c r="B8" s="37">
        <f>DATA!N6</f>
        <v>43252</v>
      </c>
      <c r="C8" s="38">
        <f>DATA!X6</f>
        <v>39160</v>
      </c>
      <c r="D8" s="27">
        <f>IF(DATA!K4=B8,DATA!L4,D7)</f>
        <v>0</v>
      </c>
      <c r="E8" s="27">
        <f>IF(DATA!K5=B8,DATA!L5,E7)</f>
        <v>0</v>
      </c>
      <c r="F8" s="27">
        <f t="shared" si="0"/>
        <v>9439</v>
      </c>
      <c r="G8" s="38">
        <f>IF(Z8=30%,MIN(ROUND(DATA!W6*Z8,0),20000),MIN(ROUND(DATA!W6*Z8,0),15000))</f>
        <v>4699</v>
      </c>
      <c r="H8" s="27">
        <f>IF(DATA!K6=B8,DATA!L6,H7)</f>
        <v>0</v>
      </c>
      <c r="I8" s="27">
        <f>DATA!S6</f>
        <v>0</v>
      </c>
      <c r="J8" s="27">
        <f>DATA!T6</f>
        <v>0</v>
      </c>
      <c r="K8" s="27">
        <f>IF(DATA!K7=B8,DATA!L7,K7)</f>
        <v>0</v>
      </c>
      <c r="L8" s="27">
        <f>IF(DATA!K8=B8,DATA!L8,L7)</f>
        <v>0</v>
      </c>
      <c r="M8" s="38">
        <f>DATA!Q6</f>
        <v>0</v>
      </c>
      <c r="N8" s="27">
        <f t="shared" si="1"/>
        <v>53298</v>
      </c>
      <c r="O8" s="27">
        <f>IF(PRO!BH7="CPS",PRO!BI7,PRO!BJ7)</f>
        <v>4000</v>
      </c>
      <c r="P8" s="27">
        <f>IF(DATA!K10=B8,DATA!L10,P7)</f>
        <v>1400</v>
      </c>
      <c r="Q8" s="27">
        <f>IF(DATA!K11=B8,DATA!L11,Q7)</f>
        <v>60</v>
      </c>
      <c r="R8" s="27">
        <f>IF(DATA!K12=B8,DATA!L12,R7)</f>
        <v>200</v>
      </c>
      <c r="S8" s="27">
        <f>IF(DATA!K13=B8,DATA!L13,S7)</f>
        <v>90</v>
      </c>
      <c r="T8" s="27"/>
      <c r="U8" s="27">
        <f>IF(DATA!K14=B8,DATA!L14,U7)</f>
        <v>0</v>
      </c>
      <c r="V8" s="27">
        <f>IF(DATA!K15=B8,DATA!L15,V7)</f>
        <v>0</v>
      </c>
      <c r="W8" s="38">
        <f>DATA!P6</f>
        <v>500</v>
      </c>
      <c r="X8" s="27">
        <f t="shared" si="2"/>
        <v>6250</v>
      </c>
      <c r="Y8" s="27">
        <f t="shared" si="3"/>
        <v>47048</v>
      </c>
      <c r="Z8" s="36">
        <f>IF(DATA!K3=B8,DATA!L3,Z7)</f>
        <v>0.12</v>
      </c>
      <c r="AA8" s="40">
        <f>DATA!O6</f>
        <v>0.24104</v>
      </c>
    </row>
    <row r="9" spans="2:27" ht="18.95" customHeight="1">
      <c r="B9" s="37">
        <f>DATA!N7</f>
        <v>43282</v>
      </c>
      <c r="C9" s="38">
        <f>DATA!X7</f>
        <v>39160</v>
      </c>
      <c r="D9" s="27">
        <f>IF(DATA!K4=B9,DATA!L4,D8)</f>
        <v>0</v>
      </c>
      <c r="E9" s="27">
        <f>IF(DATA!K5=B9,DATA!L5,E8)</f>
        <v>0</v>
      </c>
      <c r="F9" s="27">
        <f t="shared" si="0"/>
        <v>9439</v>
      </c>
      <c r="G9" s="38">
        <f>IF(Z9=30%,MIN(ROUND(DATA!W7*Z9,0),20000),MIN(ROUND(DATA!W7*Z9,0),15000))</f>
        <v>4699</v>
      </c>
      <c r="H9" s="27">
        <f>IF(DATA!K6=B9,DATA!L6,H8)</f>
        <v>0</v>
      </c>
      <c r="I9" s="27">
        <f>DATA!S7</f>
        <v>0</v>
      </c>
      <c r="J9" s="27">
        <f>DATA!T7</f>
        <v>0</v>
      </c>
      <c r="K9" s="27">
        <f>IF(DATA!K7=B9,DATA!L7,K8)</f>
        <v>0</v>
      </c>
      <c r="L9" s="27">
        <f>IF(DATA!K8=B9,DATA!L8,L8)</f>
        <v>0</v>
      </c>
      <c r="M9" s="38">
        <f>DATA!Q7</f>
        <v>0</v>
      </c>
      <c r="N9" s="27">
        <f t="shared" si="1"/>
        <v>53298</v>
      </c>
      <c r="O9" s="27">
        <f>IF(PRO!BH8="CPS",PRO!BI8,PRO!BJ8)</f>
        <v>4000</v>
      </c>
      <c r="P9" s="27">
        <f>IF(DATA!K10=B9,DATA!L10,P8)</f>
        <v>1400</v>
      </c>
      <c r="Q9" s="27">
        <f>IF(DATA!K11=B9,DATA!L11,Q8)</f>
        <v>60</v>
      </c>
      <c r="R9" s="27">
        <f>IF(DATA!K12=B9,DATA!L12,R8)</f>
        <v>200</v>
      </c>
      <c r="S9" s="27">
        <f>IF(DATA!K13=B9,DATA!L13,S8)</f>
        <v>90</v>
      </c>
      <c r="T9" s="27"/>
      <c r="U9" s="27">
        <f>IF(DATA!K14=B9,DATA!L14,U8)</f>
        <v>0</v>
      </c>
      <c r="V9" s="27">
        <f>IF(DATA!K15=B9,DATA!L15,V8)</f>
        <v>0</v>
      </c>
      <c r="W9" s="38">
        <f>DATA!P7</f>
        <v>500</v>
      </c>
      <c r="X9" s="27">
        <f t="shared" si="2"/>
        <v>6250</v>
      </c>
      <c r="Y9" s="27">
        <f t="shared" si="3"/>
        <v>47048</v>
      </c>
      <c r="Z9" s="36">
        <f>IF(DATA!K3=B9,DATA!L3,Z8)</f>
        <v>0.12</v>
      </c>
      <c r="AA9" s="40">
        <f>DATA!O7</f>
        <v>0.24104</v>
      </c>
    </row>
    <row r="10" spans="2:27" ht="18.95" customHeight="1">
      <c r="B10" s="37">
        <f>DATA!N8</f>
        <v>43313</v>
      </c>
      <c r="C10" s="38">
        <f>DATA!X8</f>
        <v>40270</v>
      </c>
      <c r="D10" s="27">
        <f>IF(DATA!K4=B10,DATA!L4,D9)</f>
        <v>0</v>
      </c>
      <c r="E10" s="27">
        <f>IF(DATA!K5=B10,DATA!L5,E9)</f>
        <v>0</v>
      </c>
      <c r="F10" s="27">
        <f t="shared" si="0"/>
        <v>9707</v>
      </c>
      <c r="G10" s="38">
        <f>IF(Z10=30%,MIN(ROUND(DATA!W8*Z10,0),20000),MIN(ROUND(DATA!W8*Z10,0),15000))</f>
        <v>4832</v>
      </c>
      <c r="H10" s="27">
        <f>IF(DATA!K6=B10,DATA!L6,H9)</f>
        <v>0</v>
      </c>
      <c r="I10" s="27">
        <f>DATA!S8</f>
        <v>0</v>
      </c>
      <c r="J10" s="27">
        <f>DATA!T8</f>
        <v>0</v>
      </c>
      <c r="K10" s="27">
        <f>IF(DATA!K7=B10,DATA!L7,K9)</f>
        <v>0</v>
      </c>
      <c r="L10" s="27">
        <f>IF(DATA!K8=B10,DATA!L8,L9)</f>
        <v>0</v>
      </c>
      <c r="M10" s="38">
        <f>DATA!Q8</f>
        <v>0</v>
      </c>
      <c r="N10" s="27">
        <f t="shared" si="1"/>
        <v>54809</v>
      </c>
      <c r="O10" s="27">
        <f>IF(PRO!BH9="CPS",PRO!BI9,PRO!BJ9)</f>
        <v>4000</v>
      </c>
      <c r="P10" s="27">
        <f>IF(DATA!K10=B10,DATA!L10,P9)</f>
        <v>1400</v>
      </c>
      <c r="Q10" s="27">
        <f>IF(DATA!K11=B10,DATA!L11,Q9)</f>
        <v>60</v>
      </c>
      <c r="R10" s="27">
        <f>IF(DATA!K12=B10,DATA!L12,R9)</f>
        <v>200</v>
      </c>
      <c r="S10" s="27">
        <f>IF(DATA!K13=B10,DATA!L13,S9)</f>
        <v>90</v>
      </c>
      <c r="T10" s="27"/>
      <c r="U10" s="27">
        <f>IF(DATA!K14=B10,DATA!L14,U9)</f>
        <v>0</v>
      </c>
      <c r="V10" s="27">
        <f>IF(DATA!K15=B10,DATA!L15,V9)</f>
        <v>0</v>
      </c>
      <c r="W10" s="38">
        <f>DATA!P8</f>
        <v>500</v>
      </c>
      <c r="X10" s="27">
        <f t="shared" si="2"/>
        <v>6250</v>
      </c>
      <c r="Y10" s="27">
        <f t="shared" si="3"/>
        <v>48559</v>
      </c>
      <c r="Z10" s="36">
        <f>IF(DATA!K3=B10,DATA!L3,Z9)</f>
        <v>0.12</v>
      </c>
      <c r="AA10" s="40">
        <f>DATA!O8</f>
        <v>0.24104</v>
      </c>
    </row>
    <row r="11" spans="2:27" ht="18.95" customHeight="1">
      <c r="B11" s="37">
        <f>DATA!N9</f>
        <v>43344</v>
      </c>
      <c r="C11" s="38">
        <f>DATA!X9</f>
        <v>40270</v>
      </c>
      <c r="D11" s="27">
        <f>IF(DATA!K4=B11,DATA!L4,D10)</f>
        <v>0</v>
      </c>
      <c r="E11" s="27">
        <f>IF(DATA!K5=B11,DATA!L5,E10)</f>
        <v>0</v>
      </c>
      <c r="F11" s="27">
        <f t="shared" si="0"/>
        <v>9707</v>
      </c>
      <c r="G11" s="38">
        <f>IF(Z11=30%,MIN(ROUND(DATA!W9*Z11,0),20000),MIN(ROUND(DATA!W9*Z11,0),15000))</f>
        <v>4832</v>
      </c>
      <c r="H11" s="27">
        <f>IF(DATA!K6=B11,DATA!L6,H10)</f>
        <v>0</v>
      </c>
      <c r="I11" s="27">
        <f>DATA!S9</f>
        <v>0</v>
      </c>
      <c r="J11" s="27">
        <f>DATA!T9</f>
        <v>0</v>
      </c>
      <c r="K11" s="27">
        <f>IF(DATA!K7=B11,DATA!L7,K10)</f>
        <v>0</v>
      </c>
      <c r="L11" s="27">
        <f>IF(DATA!K8=B11,DATA!L8,L10)</f>
        <v>0</v>
      </c>
      <c r="M11" s="38">
        <f>DATA!Q9</f>
        <v>0</v>
      </c>
      <c r="N11" s="27">
        <f t="shared" si="1"/>
        <v>54809</v>
      </c>
      <c r="O11" s="27">
        <f>IF(PRO!BH10="CPS",PRO!BI10,PRO!BJ10)</f>
        <v>4000</v>
      </c>
      <c r="P11" s="27">
        <f>IF(DATA!K10=B11,DATA!L10,P10)</f>
        <v>1400</v>
      </c>
      <c r="Q11" s="27">
        <f>IF(DATA!K11=B11,DATA!L11,Q10)</f>
        <v>60</v>
      </c>
      <c r="R11" s="27">
        <f>IF(DATA!K12=B11,DATA!L12,R10)</f>
        <v>200</v>
      </c>
      <c r="S11" s="27">
        <f>IF(DATA!K13=B11,DATA!L13,S10)</f>
        <v>90</v>
      </c>
      <c r="T11" s="27">
        <f>DATA!L16</f>
        <v>300</v>
      </c>
      <c r="U11" s="27">
        <f>IF(DATA!K14=B11,DATA!L14,U10)</f>
        <v>0</v>
      </c>
      <c r="V11" s="27">
        <f>IF(DATA!K15=B11,DATA!L15,V10)</f>
        <v>0</v>
      </c>
      <c r="W11" s="38">
        <f>DATA!P9</f>
        <v>500</v>
      </c>
      <c r="X11" s="27">
        <f t="shared" si="2"/>
        <v>6550</v>
      </c>
      <c r="Y11" s="27">
        <f t="shared" si="3"/>
        <v>48259</v>
      </c>
      <c r="Z11" s="36">
        <f>IF(DATA!K3=B11,DATA!L3,Z10)</f>
        <v>0.12</v>
      </c>
      <c r="AA11" s="40">
        <f>DATA!O9</f>
        <v>0.24104</v>
      </c>
    </row>
    <row r="12" spans="2:27" ht="18.95" customHeight="1">
      <c r="B12" s="37">
        <f>DATA!N10</f>
        <v>43374</v>
      </c>
      <c r="C12" s="38">
        <f>DATA!X10</f>
        <v>40270</v>
      </c>
      <c r="D12" s="27">
        <f>IF(DATA!K4=B12,DATA!L4,D11)</f>
        <v>0</v>
      </c>
      <c r="E12" s="27">
        <f>IF(DATA!K5=B12,DATA!L5,E11)</f>
        <v>0</v>
      </c>
      <c r="F12" s="27">
        <f t="shared" si="0"/>
        <v>10340</v>
      </c>
      <c r="G12" s="38">
        <f>IF(Z12=30%,MIN(ROUND(DATA!W10*Z12,0),20000),MIN(ROUND(DATA!W10*Z12,0),15000))</f>
        <v>4832</v>
      </c>
      <c r="H12" s="27">
        <f>IF(DATA!K6=B12,DATA!L6,H11)</f>
        <v>0</v>
      </c>
      <c r="I12" s="27">
        <f>IF(DATA!L18=0,0,DATA!S10)</f>
        <v>0</v>
      </c>
      <c r="J12" s="27">
        <f>IF(DATA!L19=0,0,DATA!T10)</f>
        <v>0</v>
      </c>
      <c r="K12" s="27">
        <f>IF(DATA!K7=B12,DATA!L7,K11)</f>
        <v>0</v>
      </c>
      <c r="L12" s="27">
        <f>IF(DATA!K8=B12,DATA!L8,L11)</f>
        <v>0</v>
      </c>
      <c r="M12" s="38">
        <f>DATA!Q10</f>
        <v>0</v>
      </c>
      <c r="N12" s="27">
        <f t="shared" si="1"/>
        <v>55442</v>
      </c>
      <c r="O12" s="27">
        <f>IF(PRO!BH11="CPS",PRO!BI11,PRO!BJ11)</f>
        <v>4000</v>
      </c>
      <c r="P12" s="27">
        <f>IF(DATA!K10=B12,DATA!L10,P11)</f>
        <v>1400</v>
      </c>
      <c r="Q12" s="27">
        <f>IF(DATA!K11=B12,DATA!L11,Q11)</f>
        <v>60</v>
      </c>
      <c r="R12" s="27">
        <f>IF(DATA!K12=B12,DATA!L12,R11)</f>
        <v>200</v>
      </c>
      <c r="S12" s="27">
        <f>IF(DATA!K13=B12,DATA!L13,S11)</f>
        <v>90</v>
      </c>
      <c r="T12" s="27"/>
      <c r="U12" s="27">
        <f>IF(DATA!K14=B12,DATA!L14,U11)</f>
        <v>0</v>
      </c>
      <c r="V12" s="27">
        <f>IF(DATA!K15=B12,DATA!L15,V11)</f>
        <v>0</v>
      </c>
      <c r="W12" s="38">
        <f>DATA!P10</f>
        <v>500</v>
      </c>
      <c r="X12" s="27">
        <f t="shared" si="2"/>
        <v>6250</v>
      </c>
      <c r="Y12" s="27">
        <f t="shared" si="3"/>
        <v>49192</v>
      </c>
      <c r="Z12" s="36">
        <f>IF(DATA!K3=B12,DATA!L3,Z11)</f>
        <v>0.12</v>
      </c>
      <c r="AA12" s="40">
        <f>DATA!O10</f>
        <v>0.25675999999999999</v>
      </c>
    </row>
    <row r="13" spans="2:27" ht="18.95" customHeight="1">
      <c r="B13" s="37">
        <f>DATA!N11</f>
        <v>43405</v>
      </c>
      <c r="C13" s="38">
        <f>DATA!X11</f>
        <v>40270</v>
      </c>
      <c r="D13" s="27">
        <f>IF(DATA!K4=B13,DATA!L4,D12)</f>
        <v>0</v>
      </c>
      <c r="E13" s="27">
        <f>IF(DATA!K5=B13,DATA!L5,E12)</f>
        <v>0</v>
      </c>
      <c r="F13" s="27">
        <f t="shared" si="0"/>
        <v>10340</v>
      </c>
      <c r="G13" s="38">
        <f>IF(Z13=30%,MIN(ROUND(DATA!W11*Z13,0),20000),MIN(ROUND(DATA!W11*Z13,0),15000))</f>
        <v>4832</v>
      </c>
      <c r="H13" s="27">
        <f>IF(DATA!K6=B13,DATA!L6,H12)</f>
        <v>0</v>
      </c>
      <c r="I13" s="27">
        <f>DATA!S11</f>
        <v>0</v>
      </c>
      <c r="J13" s="27">
        <f>DATA!T11</f>
        <v>0</v>
      </c>
      <c r="K13" s="27">
        <f>IF(DATA!K7=B13,DATA!L7,K12)</f>
        <v>0</v>
      </c>
      <c r="L13" s="27">
        <f>IF(DATA!K8=B13,DATA!L8,L12)</f>
        <v>0</v>
      </c>
      <c r="M13" s="38">
        <f>DATA!Q11</f>
        <v>0</v>
      </c>
      <c r="N13" s="27">
        <f t="shared" si="1"/>
        <v>55442</v>
      </c>
      <c r="O13" s="27">
        <f>IF(PRO!BH12="CPS",PRO!BI12,PRO!BJ12)</f>
        <v>4000</v>
      </c>
      <c r="P13" s="27">
        <f>IF(DATA!K10=B13,DATA!L10,P12)</f>
        <v>1400</v>
      </c>
      <c r="Q13" s="27">
        <f>IF(DATA!K11=B13,DATA!L11,Q12)</f>
        <v>60</v>
      </c>
      <c r="R13" s="27">
        <f>IF(DATA!K12=B13,DATA!L12,R12)</f>
        <v>200</v>
      </c>
      <c r="S13" s="27">
        <f>IF(DATA!K13=B13,DATA!L13,S12)</f>
        <v>90</v>
      </c>
      <c r="T13" s="27">
        <f>DATA!L17</f>
        <v>500</v>
      </c>
      <c r="U13" s="27">
        <f>IF(DATA!K14=B13,DATA!L14,U12)</f>
        <v>0</v>
      </c>
      <c r="V13" s="27">
        <f>IF(DATA!K15=B13,DATA!L15,V12)</f>
        <v>0</v>
      </c>
      <c r="W13" s="38">
        <f>DATA!P11</f>
        <v>500</v>
      </c>
      <c r="X13" s="27">
        <f t="shared" si="2"/>
        <v>6750</v>
      </c>
      <c r="Y13" s="27">
        <f t="shared" si="3"/>
        <v>48692</v>
      </c>
      <c r="Z13" s="36">
        <f>IF(DATA!K3=B13,DATA!L3,Z12)</f>
        <v>0.12</v>
      </c>
      <c r="AA13" s="40">
        <f>DATA!O11</f>
        <v>0.25675999999999999</v>
      </c>
    </row>
    <row r="14" spans="2:27" ht="18.95" customHeight="1">
      <c r="B14" s="37">
        <f>DATA!N12</f>
        <v>43435</v>
      </c>
      <c r="C14" s="38">
        <f>DATA!X12</f>
        <v>40270</v>
      </c>
      <c r="D14" s="27">
        <f>IF(DATA!K4=B14,DATA!L4,D13)</f>
        <v>0</v>
      </c>
      <c r="E14" s="27">
        <f>IF(DATA!K5=B14,DATA!L5,E13)</f>
        <v>0</v>
      </c>
      <c r="F14" s="27">
        <f t="shared" si="0"/>
        <v>10340</v>
      </c>
      <c r="G14" s="38">
        <f>IF(Z14=30%,MIN(ROUND(DATA!W12*Z14,0),20000),MIN(ROUND(DATA!W12*Z14,0),15000))</f>
        <v>4832</v>
      </c>
      <c r="H14" s="27">
        <f>IF(DATA!K6=B14,DATA!L6,H13)</f>
        <v>0</v>
      </c>
      <c r="I14" s="27">
        <f>DATA!S12</f>
        <v>0</v>
      </c>
      <c r="J14" s="27">
        <f>DATA!T12</f>
        <v>0</v>
      </c>
      <c r="K14" s="27">
        <f>IF(DATA!K7=B14,DATA!L7,K13)</f>
        <v>0</v>
      </c>
      <c r="L14" s="27">
        <f>IF(DATA!K8=B14,DATA!L8,L13)</f>
        <v>0</v>
      </c>
      <c r="M14" s="38">
        <f>DATA!Q12</f>
        <v>0</v>
      </c>
      <c r="N14" s="27">
        <f t="shared" si="1"/>
        <v>55442</v>
      </c>
      <c r="O14" s="27">
        <f>IF(PRO!BH13="CPS",PRO!BI13,PRO!BJ13)</f>
        <v>4000</v>
      </c>
      <c r="P14" s="27">
        <f>IF(DATA!K10=B14,DATA!L10,P13)</f>
        <v>1400</v>
      </c>
      <c r="Q14" s="27">
        <f>IF(DATA!K11=B14,DATA!L11,Q13)</f>
        <v>60</v>
      </c>
      <c r="R14" s="27">
        <f>IF(DATA!K12=B14,DATA!L12,R13)</f>
        <v>200</v>
      </c>
      <c r="S14" s="27">
        <f>IF(DATA!K13=B14,DATA!L13,S13)</f>
        <v>90</v>
      </c>
      <c r="T14" s="27">
        <f>DATA!J17</f>
        <v>50</v>
      </c>
      <c r="U14" s="27">
        <f>IF(DATA!K14=B14,DATA!L14,U13)</f>
        <v>0</v>
      </c>
      <c r="V14" s="27">
        <f>IF(DATA!K15=B14,DATA!L15,V13)</f>
        <v>0</v>
      </c>
      <c r="W14" s="38">
        <f>DATA!P12</f>
        <v>500</v>
      </c>
      <c r="X14" s="27">
        <f t="shared" si="2"/>
        <v>6300</v>
      </c>
      <c r="Y14" s="27">
        <f t="shared" si="3"/>
        <v>49142</v>
      </c>
      <c r="Z14" s="36">
        <f>IF(DATA!K3=B14,DATA!L3,Z13)</f>
        <v>0.12</v>
      </c>
      <c r="AA14" s="40">
        <f>DATA!O12</f>
        <v>0.25675999999999999</v>
      </c>
    </row>
    <row r="15" spans="2:27" ht="18.95" customHeight="1">
      <c r="B15" s="37">
        <f>DATA!N13</f>
        <v>43466</v>
      </c>
      <c r="C15" s="38">
        <f>DATA!X13</f>
        <v>40270</v>
      </c>
      <c r="D15" s="27">
        <f>IF(DATA!K4=B15,DATA!L4,D14)</f>
        <v>0</v>
      </c>
      <c r="E15" s="27">
        <f>IF(DATA!K5=B15,DATA!L5,E14)</f>
        <v>0</v>
      </c>
      <c r="F15" s="27">
        <f t="shared" si="0"/>
        <v>10340</v>
      </c>
      <c r="G15" s="38">
        <f>IF(Z15=30%,MIN(ROUND(DATA!W13*Z15,0),20000),MIN(ROUND(DATA!W13*Z15,0),15000))</f>
        <v>4832</v>
      </c>
      <c r="H15" s="27">
        <f>IF(DATA!K6=B15,DATA!L6,H14)</f>
        <v>0</v>
      </c>
      <c r="I15" s="27">
        <f>IF(DATA!L18=0,0,DATA!S13)</f>
        <v>0</v>
      </c>
      <c r="J15" s="27">
        <f>IF(DATA!L19=0,0,DATA!T13)</f>
        <v>0</v>
      </c>
      <c r="K15" s="27">
        <f>IF(DATA!K7=B15,DATA!L7,K14)</f>
        <v>0</v>
      </c>
      <c r="L15" s="27">
        <f>IF(DATA!K8=B15,DATA!L8,L14)</f>
        <v>0</v>
      </c>
      <c r="M15" s="38">
        <f>DATA!Q13</f>
        <v>0</v>
      </c>
      <c r="N15" s="27">
        <f t="shared" si="1"/>
        <v>55442</v>
      </c>
      <c r="O15" s="27">
        <f>IF(PRO!BH14="CPS",PRO!BI14,PRO!BJ14)</f>
        <v>4000</v>
      </c>
      <c r="P15" s="27">
        <f>IF(DATA!K10=B15,DATA!L10,P14)</f>
        <v>1400</v>
      </c>
      <c r="Q15" s="27">
        <f>IF(DATA!K11=B15,DATA!L11,Q14)</f>
        <v>60</v>
      </c>
      <c r="R15" s="27">
        <f>IF(DATA!K12=B15,DATA!L12,R14)</f>
        <v>200</v>
      </c>
      <c r="S15" s="27">
        <f>IF(DATA!K13=B15,DATA!L13,S14)</f>
        <v>90</v>
      </c>
      <c r="T15" s="27"/>
      <c r="U15" s="27">
        <f>IF(DATA!K14=B15,DATA!L14,U14)</f>
        <v>0</v>
      </c>
      <c r="V15" s="27">
        <f>IF(DATA!K15=B15,DATA!L15,V14)</f>
        <v>0</v>
      </c>
      <c r="W15" s="38">
        <f>DATA!P13</f>
        <v>500</v>
      </c>
      <c r="X15" s="27">
        <f t="shared" si="2"/>
        <v>6250</v>
      </c>
      <c r="Y15" s="27">
        <f t="shared" si="3"/>
        <v>49192</v>
      </c>
      <c r="Z15" s="36">
        <f>IF(DATA!K3=B15,DATA!L3,Z14)</f>
        <v>0.12</v>
      </c>
      <c r="AA15" s="40">
        <f>DATA!O13</f>
        <v>0.25675999999999999</v>
      </c>
    </row>
    <row r="16" spans="2:27" ht="18.95" customHeight="1">
      <c r="B16" s="37">
        <f>DATA!N14</f>
        <v>43497</v>
      </c>
      <c r="C16" s="38">
        <f>DATA!X14</f>
        <v>40270</v>
      </c>
      <c r="D16" s="27">
        <f>IF(DATA!K4=B16,DATA!L4,D15)</f>
        <v>0</v>
      </c>
      <c r="E16" s="27">
        <f>IF(DATA!K5=B16,DATA!L5,E15)</f>
        <v>0</v>
      </c>
      <c r="F16" s="27">
        <f>ROUND(C16*AA16,0)</f>
        <v>10340</v>
      </c>
      <c r="G16" s="38">
        <f>IF(Z16=30%,MIN(ROUND(DATA!W14*Z16,0),20000),MIN(ROUND(DATA!W14*Z16,0),15000))</f>
        <v>4832</v>
      </c>
      <c r="H16" s="27">
        <f>IF(DATA!K6=B16,DATA!L6,H15)</f>
        <v>0</v>
      </c>
      <c r="I16" s="27">
        <f>DATA!S14</f>
        <v>0</v>
      </c>
      <c r="J16" s="27">
        <f>DATA!T14</f>
        <v>0</v>
      </c>
      <c r="K16" s="27">
        <f>IF(DATA!K7=B16,DATA!L7,K15)</f>
        <v>0</v>
      </c>
      <c r="L16" s="27">
        <f>IF(DATA!K8=B16,DATA!L8,L15)</f>
        <v>0</v>
      </c>
      <c r="M16" s="38">
        <f>DATA!Q14</f>
        <v>0</v>
      </c>
      <c r="N16" s="27">
        <f t="shared" si="1"/>
        <v>55442</v>
      </c>
      <c r="O16" s="27">
        <f>IF(PRO!BH15="CPS",PRO!BI15,PRO!BJ15)</f>
        <v>4000</v>
      </c>
      <c r="P16" s="27">
        <f>IF(DATA!K10=B16,DATA!L10,P15)</f>
        <v>1400</v>
      </c>
      <c r="Q16" s="27">
        <f>IF(DATA!K11=B16,DATA!L11,Q15)</f>
        <v>60</v>
      </c>
      <c r="R16" s="27">
        <f>IF(DATA!K12=B16,DATA!L12,R15)</f>
        <v>200</v>
      </c>
      <c r="S16" s="27">
        <f>IF(DATA!K13=B16,DATA!L13,S15)</f>
        <v>90</v>
      </c>
      <c r="T16" s="27"/>
      <c r="U16" s="27">
        <f>IF(DATA!K14=B16,DATA!L14,U15)</f>
        <v>0</v>
      </c>
      <c r="V16" s="27">
        <f>IF(DATA!K15=B16,DATA!L15,V15)</f>
        <v>0</v>
      </c>
      <c r="W16" s="38">
        <f>DATA!P14</f>
        <v>0</v>
      </c>
      <c r="X16" s="27">
        <f t="shared" si="2"/>
        <v>5750</v>
      </c>
      <c r="Y16" s="27">
        <f t="shared" si="3"/>
        <v>49692</v>
      </c>
      <c r="Z16" s="36">
        <f>IF(DATA!K3=B16,DATA!L3,Z15)</f>
        <v>0.12</v>
      </c>
      <c r="AA16" s="40">
        <f>DATA!O14</f>
        <v>0.25675999999999999</v>
      </c>
    </row>
    <row r="17" spans="2:27" ht="18.95" customHeight="1">
      <c r="B17" s="32" t="s">
        <v>249</v>
      </c>
      <c r="C17" s="31"/>
      <c r="D17" s="27"/>
      <c r="E17" s="27"/>
      <c r="F17" s="31">
        <f>IF(DATA!E26="MANUAL",DATA!G28,DATA!F28)</f>
        <v>13393</v>
      </c>
      <c r="G17" s="27"/>
      <c r="H17" s="27"/>
      <c r="I17" s="29"/>
      <c r="J17" s="29"/>
      <c r="K17" s="29"/>
      <c r="L17" s="29"/>
      <c r="M17" s="29"/>
      <c r="N17" s="27">
        <f t="shared" si="1"/>
        <v>13393</v>
      </c>
      <c r="O17" s="27">
        <f>N17-Y17</f>
        <v>11340</v>
      </c>
      <c r="P17" s="29"/>
      <c r="Q17" s="29"/>
      <c r="R17" s="29"/>
      <c r="S17" s="29"/>
      <c r="T17" s="29"/>
      <c r="U17" s="29"/>
      <c r="V17" s="29"/>
      <c r="W17" s="29"/>
      <c r="X17" s="27">
        <f>SUM(O17:W17)</f>
        <v>11340</v>
      </c>
      <c r="Y17" s="27">
        <f>IF(DATA!E26="MANUAL",DATA!G29,DATA!F29)</f>
        <v>2053</v>
      </c>
      <c r="Z17" s="1047" t="s">
        <v>812</v>
      </c>
      <c r="AA17" s="1048"/>
    </row>
    <row r="18" spans="2:27" ht="18.95" customHeight="1">
      <c r="B18" s="32" t="s">
        <v>248</v>
      </c>
      <c r="C18" s="27"/>
      <c r="D18" s="30"/>
      <c r="E18" s="30"/>
      <c r="F18" s="31">
        <f>IF(DATA!E27="MANUAL",DATA!G30,DATA!F30)</f>
        <v>9564</v>
      </c>
      <c r="G18" s="27"/>
      <c r="H18" s="27"/>
      <c r="I18" s="29"/>
      <c r="J18" s="29"/>
      <c r="K18" s="29"/>
      <c r="L18" s="29"/>
      <c r="M18" s="29"/>
      <c r="N18" s="27">
        <f t="shared" si="1"/>
        <v>9564</v>
      </c>
      <c r="O18" s="27">
        <f>N18-Y18</f>
        <v>8624</v>
      </c>
      <c r="P18" s="29"/>
      <c r="Q18" s="29"/>
      <c r="R18" s="29"/>
      <c r="S18" s="29"/>
      <c r="T18" s="29"/>
      <c r="U18" s="29"/>
      <c r="V18" s="29"/>
      <c r="W18" s="29"/>
      <c r="X18" s="27">
        <f>SUM(O18:W18)</f>
        <v>8624</v>
      </c>
      <c r="Y18" s="27">
        <f>IF(DATA!E27="MANUAL",DATA!G31,DATA!F31)</f>
        <v>940</v>
      </c>
      <c r="Z18" s="1047" t="s">
        <v>813</v>
      </c>
      <c r="AA18" s="1048"/>
    </row>
    <row r="19" spans="2:27" ht="18.95" customHeight="1">
      <c r="B19" s="82" t="s">
        <v>499</v>
      </c>
      <c r="C19" s="27">
        <f>IF(DATA!E33=0,DATA!C33,0)</f>
        <v>0</v>
      </c>
      <c r="D19" s="27"/>
      <c r="E19" s="27"/>
      <c r="F19" s="27">
        <f>IF(DATA!E33=0,DATA!C34,0)</f>
        <v>0</v>
      </c>
      <c r="G19" s="27">
        <f>IF(DATA!E33=0,DATA!C35,0)</f>
        <v>0</v>
      </c>
      <c r="H19" s="27"/>
      <c r="I19" s="29"/>
      <c r="J19" s="29"/>
      <c r="K19" s="29">
        <f>IF(DATA!E33=0,DATA!C36,0)</f>
        <v>0</v>
      </c>
      <c r="L19" s="29"/>
      <c r="N19" s="27">
        <f>IF(DATA!E33=0,SUM(DATA!C33:C36),DATA!E33)</f>
        <v>72446</v>
      </c>
      <c r="O19" s="27">
        <f>IF(DATA!E36=0,0,N19-R19-Y19)</f>
        <v>65111</v>
      </c>
      <c r="P19" s="29"/>
      <c r="Q19" s="29"/>
      <c r="R19" s="29">
        <f>DATA!E35</f>
        <v>0</v>
      </c>
      <c r="S19" s="29"/>
      <c r="T19" s="29"/>
      <c r="U19" s="29"/>
      <c r="V19" s="29"/>
      <c r="W19" s="29"/>
      <c r="X19" s="27">
        <f>O19+R19</f>
        <v>65111</v>
      </c>
      <c r="Y19" s="27">
        <f>DATA!E36</f>
        <v>7335</v>
      </c>
      <c r="Z19" s="1049" t="s">
        <v>818</v>
      </c>
      <c r="AA19" s="1050"/>
    </row>
    <row r="20" spans="2:27" ht="18.95" customHeight="1">
      <c r="B20" s="32" t="s">
        <v>665</v>
      </c>
      <c r="C20" s="31">
        <f>PRO!AP19</f>
        <v>0</v>
      </c>
      <c r="D20" s="30"/>
      <c r="E20" s="30">
        <f>IF(DATA!G12="NOT APPLICABLE",0,IF(DATA!G12="",0,
IF(DATA!G13=30,LOOKUP(DATA!G12,'ANNEXURE I'!B5:B16,'ANNEXURE I'!E5:E16),
IF(DATA!G13=15,LOOKUP(DATA!G12,'ANNEXURE I'!B5:B16,'ANNEXURE I'!E5:E16/2),""))))</f>
        <v>0</v>
      </c>
      <c r="F20" s="27">
        <f>IF(DATA!G12="NOT APPLICABLE",0,IF(DATA!G12="",0,IF(DATA!G13&gt;0,ROUND(C20*PRO!AP21,0),"")))</f>
        <v>0</v>
      </c>
      <c r="G20" s="27">
        <f>IF(DATA!G12="NOT APPLICABLE",0,IF(DATA!G12="",0,IF(DATA!G13&gt;0,ROUND(C20*PRO!AP20,0),"")))</f>
        <v>0</v>
      </c>
      <c r="H20" s="27">
        <f>IF(DATA!G12="NOT APPLICABLE",0,IF(DATA!G12="",0,
IF(DATA!G13=30,LOOKUP(DATA!G12,'ANNEXURE I'!B5:B16,'ANNEXURE I'!H5:H16),
IF(DATA!G13=15,LOOKUP(DATA!G12,'ANNEXURE I'!B5:B16,'ANNEXURE I'!H5:H16/2),""))))</f>
        <v>0</v>
      </c>
      <c r="I20" s="29"/>
      <c r="J20" s="29"/>
      <c r="K20" s="29">
        <f>IF(DATA!G12="NOT APPLICABLE",0,IF(DATA!G12="",0,
IF(DATA!G13=30,LOOKUP(DATA!G12,'ANNEXURE I'!B5:B16,'ANNEXURE I'!K5:K16),
IF(DATA!G13=15,LOOKUP(DATA!G12,'ANNEXURE I'!B5:B16,'ANNEXURE I'!K5:K16/2),""))))</f>
        <v>0</v>
      </c>
      <c r="L20" s="29">
        <f>IF(DATA!G12="NOT APPLICABLE",0,IF(DATA!G12="",0,
IF(DATA!G13=30,LOOKUP(DATA!G12,'ANNEXURE I'!B5:B16,'ANNEXURE I'!L5:L16),
IF(DATA!G13=15,LOOKUP(DATA!G12,'ANNEXURE I'!B5:B16,'ANNEXURE I'!L5:L16/2),""))))</f>
        <v>0</v>
      </c>
      <c r="M20" s="29"/>
      <c r="N20" s="27">
        <f>SUM(C20:M20)</f>
        <v>0</v>
      </c>
      <c r="O20" s="27"/>
      <c r="P20" s="29"/>
      <c r="Q20" s="29"/>
      <c r="R20" s="29"/>
      <c r="S20" s="29"/>
      <c r="T20" s="29"/>
      <c r="U20" s="29"/>
      <c r="V20" s="29"/>
      <c r="W20" s="29"/>
      <c r="X20" s="27">
        <f>SUM(O20:W20)</f>
        <v>0</v>
      </c>
      <c r="Y20" s="27">
        <f>N20-X20</f>
        <v>0</v>
      </c>
      <c r="Z20" s="1041" t="str">
        <f>IF(C20=0,"NOT ENCASHED",IF(C20&gt;0,DATA!G13&amp;" EL's @ "&amp;UPPER(TEXT(DATA!G12,"MMM-YY"))))</f>
        <v>NOT ENCASHED</v>
      </c>
      <c r="AA20" s="1042"/>
    </row>
    <row r="21" spans="2:27" ht="18.95" customHeight="1">
      <c r="B21" s="82" t="s">
        <v>414</v>
      </c>
      <c r="C21" s="27">
        <f>IF(AND(DATA!G8&gt;0,DATA!O18&gt;0),DATA!O18,DATA!O17)</f>
        <v>0</v>
      </c>
      <c r="D21" s="27"/>
      <c r="E21" s="27"/>
      <c r="F21" s="27">
        <f>IF(AND(DATA!G8&gt;0,DATA!P18&gt;0),DATA!P18,DATA!P17)</f>
        <v>0</v>
      </c>
      <c r="G21" s="27">
        <f>IF(AND(DATA!G8&gt;0,DATA!Q18&gt;0),DATA!Q18,DATA!Q17)</f>
        <v>0</v>
      </c>
      <c r="H21" s="27"/>
      <c r="I21" s="29"/>
      <c r="J21" s="29"/>
      <c r="K21" s="29"/>
      <c r="L21" s="29"/>
      <c r="M21" s="29"/>
      <c r="N21" s="27">
        <f>SUM(C21:M21)</f>
        <v>0</v>
      </c>
      <c r="O21" s="27">
        <f>IF(PRO!BH15="CPS",ROUND((C21+F21)*10%,0),0)</f>
        <v>0</v>
      </c>
      <c r="P21" s="29"/>
      <c r="Q21" s="29"/>
      <c r="R21" s="29"/>
      <c r="S21" s="29"/>
      <c r="T21" s="29"/>
      <c r="U21" s="29"/>
      <c r="V21" s="29"/>
      <c r="W21" s="29"/>
      <c r="X21" s="27">
        <f>SUM(O21:W21)</f>
        <v>0</v>
      </c>
      <c r="Y21" s="27">
        <f>N21-X21</f>
        <v>0</v>
      </c>
      <c r="Z21" s="377">
        <f>PRO!AP15</f>
        <v>0</v>
      </c>
      <c r="AA21" s="128">
        <f>PRO!AP14</f>
        <v>0</v>
      </c>
    </row>
    <row r="22" spans="2:27" ht="18.95" customHeight="1">
      <c r="B22" s="82" t="s">
        <v>871</v>
      </c>
      <c r="C22" s="310">
        <f>IF(AND(DATA!G11&gt;0,DATA!O20&gt;0),DATA!O20,DATA!O19)</f>
        <v>0</v>
      </c>
      <c r="D22" s="27"/>
      <c r="E22" s="27"/>
      <c r="F22" s="27">
        <f>IF(AND(DATA!G11&gt;0,DATA!P20&gt;0),DATA!P20,DATA!P19)</f>
        <v>0</v>
      </c>
      <c r="G22" s="27">
        <f>IF(AND(DATA!G11&gt;0,DATA!Q20&gt;0),DATA!Q20,DATA!Q19)</f>
        <v>0</v>
      </c>
      <c r="H22" s="27"/>
      <c r="I22" s="29"/>
      <c r="J22" s="29"/>
      <c r="K22" s="29"/>
      <c r="L22" s="29"/>
      <c r="M22" s="29"/>
      <c r="N22" s="27">
        <f>SUM(C22:M22)</f>
        <v>0</v>
      </c>
      <c r="O22" s="27">
        <f>IF(PRO!BH15="CPS",ROUND((C22+F22)*10%,0),0)</f>
        <v>0</v>
      </c>
      <c r="P22" s="29"/>
      <c r="Q22" s="29"/>
      <c r="R22" s="29"/>
      <c r="S22" s="29"/>
      <c r="T22" s="29"/>
      <c r="U22" s="29"/>
      <c r="V22" s="29"/>
      <c r="W22" s="29"/>
      <c r="X22" s="27">
        <f>SUM(O22:W22)</f>
        <v>0</v>
      </c>
      <c r="Y22" s="27">
        <f>N22-X22</f>
        <v>0</v>
      </c>
      <c r="Z22" s="377">
        <f>PRO!AR15</f>
        <v>0</v>
      </c>
      <c r="AA22" s="128">
        <f>PRO!AR14</f>
        <v>0</v>
      </c>
    </row>
    <row r="23" spans="2:27" ht="18.95" customHeight="1">
      <c r="B23" s="76" t="s">
        <v>267</v>
      </c>
      <c r="C23" s="75"/>
      <c r="D23" s="27"/>
      <c r="E23" s="27"/>
      <c r="F23" s="27"/>
      <c r="G23" s="27"/>
      <c r="H23" s="27"/>
      <c r="I23" s="28"/>
      <c r="J23" s="28"/>
      <c r="K23" s="28"/>
      <c r="L23" s="28"/>
      <c r="M23" s="28"/>
      <c r="N23" s="27">
        <f>DATA!G37</f>
        <v>0</v>
      </c>
      <c r="O23" s="27"/>
      <c r="P23" s="28"/>
      <c r="Q23" s="28"/>
      <c r="R23" s="28"/>
      <c r="S23" s="28"/>
      <c r="T23" s="28"/>
      <c r="U23" s="28"/>
      <c r="V23" s="28"/>
      <c r="W23" s="28"/>
      <c r="X23" s="27"/>
      <c r="Y23" s="27">
        <f t="shared" ref="Y23" si="4">N23-X23</f>
        <v>0</v>
      </c>
      <c r="Z23" s="1051" t="s">
        <v>442</v>
      </c>
      <c r="AA23" s="1052"/>
    </row>
    <row r="24" spans="2:27" ht="18.95" customHeight="1">
      <c r="B24" s="82" t="s">
        <v>647</v>
      </c>
      <c r="C24" s="310"/>
      <c r="D24" s="27"/>
      <c r="E24" s="27"/>
      <c r="F24" s="27"/>
      <c r="G24" s="27">
        <f>DATA!G47</f>
        <v>0</v>
      </c>
      <c r="H24" s="27"/>
      <c r="I24" s="29"/>
      <c r="J24" s="29"/>
      <c r="K24" s="29"/>
      <c r="L24" s="29"/>
      <c r="M24" s="29"/>
      <c r="N24" s="27">
        <f>SUM(C24:M24)</f>
        <v>0</v>
      </c>
      <c r="O24" s="27"/>
      <c r="P24" s="29"/>
      <c r="Q24" s="29"/>
      <c r="R24" s="29"/>
      <c r="S24" s="29"/>
      <c r="T24" s="29"/>
      <c r="U24" s="29"/>
      <c r="V24" s="29"/>
      <c r="W24" s="29"/>
      <c r="X24" s="27"/>
      <c r="Y24" s="27">
        <f>N24-X24</f>
        <v>0</v>
      </c>
      <c r="Z24" s="1049" t="s">
        <v>671</v>
      </c>
      <c r="AA24" s="1050"/>
    </row>
    <row r="25" spans="2:27" s="63" customFormat="1" ht="30" customHeight="1">
      <c r="B25" s="26" t="s">
        <v>247</v>
      </c>
      <c r="C25" s="33">
        <f t="shared" ref="C25:Y25" si="5">SUM(C5:C24)</f>
        <v>477690</v>
      </c>
      <c r="D25" s="33">
        <f t="shared" si="5"/>
        <v>0</v>
      </c>
      <c r="E25" s="33">
        <f t="shared" si="5"/>
        <v>0</v>
      </c>
      <c r="F25" s="33">
        <f t="shared" si="5"/>
        <v>139624</v>
      </c>
      <c r="G25" s="33">
        <f t="shared" si="5"/>
        <v>57319</v>
      </c>
      <c r="H25" s="33">
        <f t="shared" si="5"/>
        <v>0</v>
      </c>
      <c r="I25" s="33">
        <f t="shared" si="5"/>
        <v>0</v>
      </c>
      <c r="J25" s="33">
        <f t="shared" si="5"/>
        <v>0</v>
      </c>
      <c r="K25" s="33">
        <f t="shared" si="5"/>
        <v>0</v>
      </c>
      <c r="L25" s="33">
        <f t="shared" si="5"/>
        <v>0</v>
      </c>
      <c r="M25" s="81">
        <f t="shared" si="5"/>
        <v>0</v>
      </c>
      <c r="N25" s="33">
        <f t="shared" si="5"/>
        <v>747079</v>
      </c>
      <c r="O25" s="33">
        <f t="shared" si="5"/>
        <v>133075</v>
      </c>
      <c r="P25" s="33">
        <f t="shared" si="5"/>
        <v>16800</v>
      </c>
      <c r="Q25" s="33">
        <f t="shared" si="5"/>
        <v>720</v>
      </c>
      <c r="R25" s="33">
        <f t="shared" si="5"/>
        <v>2400</v>
      </c>
      <c r="S25" s="33">
        <f t="shared" si="5"/>
        <v>1080</v>
      </c>
      <c r="T25" s="33">
        <f t="shared" si="5"/>
        <v>870</v>
      </c>
      <c r="U25" s="33">
        <f t="shared" si="5"/>
        <v>0</v>
      </c>
      <c r="V25" s="33">
        <f t="shared" si="5"/>
        <v>0</v>
      </c>
      <c r="W25" s="33">
        <f t="shared" si="5"/>
        <v>5500</v>
      </c>
      <c r="X25" s="33">
        <f t="shared" si="5"/>
        <v>160445</v>
      </c>
      <c r="Y25" s="33">
        <f t="shared" si="5"/>
        <v>586634</v>
      </c>
      <c r="Z25" s="1053"/>
      <c r="AA25" s="1054"/>
    </row>
    <row r="26" spans="2:27" s="63" customFormat="1" ht="84.95" customHeight="1" thickBot="1">
      <c r="B26" s="25"/>
      <c r="C26" s="1055" t="s">
        <v>246</v>
      </c>
      <c r="D26" s="1055"/>
      <c r="E26" s="1055"/>
      <c r="F26" s="1055"/>
      <c r="G26" s="1055"/>
      <c r="H26" s="1055"/>
      <c r="I26" s="1055"/>
      <c r="J26" s="1055"/>
      <c r="K26" s="1055"/>
      <c r="L26" s="1055"/>
      <c r="M26" s="1055"/>
      <c r="N26" s="1055"/>
      <c r="O26" s="1055"/>
      <c r="P26" s="1055" t="s">
        <v>245</v>
      </c>
      <c r="Q26" s="1055"/>
      <c r="R26" s="1055"/>
      <c r="S26" s="1055"/>
      <c r="T26" s="1055"/>
      <c r="U26" s="1055"/>
      <c r="V26" s="1055"/>
      <c r="W26" s="1055"/>
      <c r="X26" s="1055"/>
      <c r="Y26" s="1055"/>
      <c r="Z26" s="1055"/>
      <c r="AA26" s="24"/>
    </row>
    <row r="27" spans="2:27" ht="15.95" customHeight="1" thickTop="1">
      <c r="B27" s="23"/>
      <c r="C27" s="1056" t="s">
        <v>268</v>
      </c>
      <c r="D27" s="1056"/>
      <c r="E27" s="1056"/>
      <c r="F27" s="1056"/>
      <c r="G27" s="1056"/>
      <c r="H27" s="1056"/>
      <c r="I27" s="1056"/>
      <c r="J27" s="1056"/>
      <c r="K27" s="1056"/>
      <c r="L27" s="1056"/>
      <c r="M27" s="1056"/>
      <c r="N27" s="1056"/>
      <c r="O27" s="1056"/>
      <c r="P27" s="1056"/>
      <c r="Q27" s="1056"/>
      <c r="R27" s="1056"/>
      <c r="S27" s="1056"/>
      <c r="T27" s="1056"/>
      <c r="U27" s="1056"/>
      <c r="V27" s="1056"/>
      <c r="W27" s="1056"/>
      <c r="X27" s="1056"/>
      <c r="Y27" s="1056"/>
      <c r="Z27" s="1056"/>
      <c r="AA27" s="1056"/>
    </row>
    <row r="32" spans="2:27">
      <c r="D32" s="64"/>
      <c r="E32" s="64"/>
      <c r="F32" s="64"/>
    </row>
  </sheetData>
  <sheetProtection password="C6B1" sheet="1" objects="1" scenarios="1" selectLockedCells="1" selectUnlockedCells="1"/>
  <mergeCells count="12">
    <mergeCell ref="Z23:AA23"/>
    <mergeCell ref="Z25:AA25"/>
    <mergeCell ref="C26:O26"/>
    <mergeCell ref="C27:AA27"/>
    <mergeCell ref="P26:Z26"/>
    <mergeCell ref="Z24:AA24"/>
    <mergeCell ref="Z20:AA20"/>
    <mergeCell ref="C2:AA2"/>
    <mergeCell ref="C3:AA3"/>
    <mergeCell ref="Z17:AA17"/>
    <mergeCell ref="Z18:AA18"/>
    <mergeCell ref="Z19:AA19"/>
  </mergeCells>
  <conditionalFormatting sqref="Z5:Z16">
    <cfRule type="uniqueValues" dxfId="7" priority="2"/>
  </conditionalFormatting>
  <printOptions horizontalCentered="1" verticalCentered="1"/>
  <pageMargins left="0.15748031496062992" right="0.15748031496062992" top="7.874015748031496E-2" bottom="7.874015748031496E-2" header="7.874015748031496E-2" footer="7.874015748031496E-2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1"/>
    <pageSetUpPr fitToPage="1"/>
  </sheetPr>
  <dimension ref="B1:N67"/>
  <sheetViews>
    <sheetView showGridLines="0" showRowColHeaders="0" zoomScaleNormal="100" zoomScaleSheetLayoutView="100" zoomScalePageLayoutView="60" workbookViewId="0">
      <pane xSplit="1" ySplit="6" topLeftCell="B29" activePane="bottomRight" state="frozen"/>
      <selection activeCell="B72" sqref="B72:J72"/>
      <selection pane="topRight" activeCell="B72" sqref="B72:J72"/>
      <selection pane="bottomLeft" activeCell="B72" sqref="B72:J72"/>
      <selection pane="bottomRight" activeCell="B67" sqref="B67:I67"/>
    </sheetView>
  </sheetViews>
  <sheetFormatPr defaultColWidth="9.140625" defaultRowHeight="15"/>
  <cols>
    <col min="1" max="1" width="0.42578125" style="57" customWidth="1" collapsed="1"/>
    <col min="2" max="2" width="4.28515625" style="56" customWidth="1" collapsed="1"/>
    <col min="3" max="3" width="3.7109375" style="57" customWidth="1" collapsed="1"/>
    <col min="4" max="4" width="14.7109375" style="57" customWidth="1" collapsed="1"/>
    <col min="5" max="5" width="21.28515625" style="57" customWidth="1" collapsed="1"/>
    <col min="6" max="6" width="14.7109375" style="58" customWidth="1" collapsed="1"/>
    <col min="7" max="7" width="15.7109375" style="57" customWidth="1" collapsed="1"/>
    <col min="8" max="8" width="14.28515625" style="59" customWidth="1" collapsed="1"/>
    <col min="9" max="9" width="14.28515625" style="60" customWidth="1" collapsed="1"/>
    <col min="10" max="10" width="2.42578125" style="57" customWidth="1" collapsed="1"/>
    <col min="11" max="11" width="4.42578125" style="57" customWidth="1" collapsed="1"/>
    <col min="12" max="12" width="16.28515625" style="57" customWidth="1" collapsed="1"/>
    <col min="13" max="13" width="10.28515625" style="57" customWidth="1" collapsed="1"/>
    <col min="14" max="16384" width="9.140625" style="57" collapsed="1"/>
  </cols>
  <sheetData>
    <row r="1" spans="2:14" ht="3" customHeight="1" thickBot="1"/>
    <row r="2" spans="2:14" ht="14.1" customHeight="1" thickTop="1">
      <c r="B2" s="1116" t="s">
        <v>331</v>
      </c>
      <c r="C2" s="1098"/>
      <c r="D2" s="1098"/>
      <c r="E2" s="1097" t="s">
        <v>330</v>
      </c>
      <c r="F2" s="1097"/>
      <c r="G2" s="1097"/>
      <c r="H2" s="1098" t="s">
        <v>329</v>
      </c>
      <c r="I2" s="1099"/>
      <c r="K2" s="1104" t="s">
        <v>435</v>
      </c>
      <c r="L2" s="1104"/>
      <c r="M2" s="1104"/>
    </row>
    <row r="3" spans="2:14" ht="17.100000000000001" customHeight="1">
      <c r="B3" s="1100" t="s">
        <v>328</v>
      </c>
      <c r="C3" s="1101"/>
      <c r="D3" s="1101"/>
      <c r="E3" s="1102" t="s">
        <v>327</v>
      </c>
      <c r="F3" s="1102"/>
      <c r="G3" s="1102"/>
      <c r="H3" s="1101" t="s">
        <v>326</v>
      </c>
      <c r="I3" s="1103"/>
      <c r="K3" s="65" t="s">
        <v>437</v>
      </c>
      <c r="L3" s="139" t="str">
        <f>"RENT = ("&amp;DATA!G38&amp;" * 12)"</f>
        <v>RENT = (8300 * 12)</v>
      </c>
      <c r="M3" s="55">
        <f>ROUND(DATA!G38*12,0)</f>
        <v>99600</v>
      </c>
    </row>
    <row r="4" spans="2:14" ht="15" customHeight="1">
      <c r="B4" s="329" t="s">
        <v>651</v>
      </c>
      <c r="C4" s="1119" t="str">
        <f>UPPER(DATA!O25)</f>
        <v/>
      </c>
      <c r="D4" s="1119"/>
      <c r="E4" s="1119"/>
      <c r="F4" s="1119" t="str">
        <f>UPPER(DATA!O32)&amp;"_VILLAGE"</f>
        <v>DORNALA_VILLAGE</v>
      </c>
      <c r="G4" s="1119"/>
      <c r="H4" s="1119" t="str">
        <f>"EMP. PAN : "&amp;DATA!O29</f>
        <v xml:space="preserve">EMP. PAN : </v>
      </c>
      <c r="I4" s="1120"/>
      <c r="K4" s="65" t="s">
        <v>438</v>
      </c>
      <c r="L4" s="66" t="s">
        <v>323</v>
      </c>
      <c r="M4" s="55">
        <f>ROUND(('ANNEXURE I'!C25+'ANNEXURE I'!F25)*10%,0)</f>
        <v>61731</v>
      </c>
    </row>
    <row r="5" spans="2:14" ht="15" customHeight="1">
      <c r="B5" s="312" t="s">
        <v>651</v>
      </c>
      <c r="C5" s="1121" t="str">
        <f>UPPER(DATA!O27)</f>
        <v/>
      </c>
      <c r="D5" s="1121"/>
      <c r="E5" s="1121"/>
      <c r="F5" s="1121" t="str">
        <f>UPPER(DATA!O33)&amp;"_MANDAL"</f>
        <v>DORNALA_MANDAL</v>
      </c>
      <c r="G5" s="1121"/>
      <c r="H5" s="1121" t="str">
        <f>"EMP. Tr.ID : "&amp;DATA!O28</f>
        <v xml:space="preserve">EMP. Tr.ID : </v>
      </c>
      <c r="I5" s="1122"/>
      <c r="K5" s="140"/>
      <c r="L5" s="141" t="s">
        <v>439</v>
      </c>
      <c r="M5" s="55">
        <f>IF(M3=0,0,IF(M3&lt;M4,0,(M3-M4)))</f>
        <v>37869</v>
      </c>
    </row>
    <row r="6" spans="2:14" ht="15" customHeight="1">
      <c r="B6" s="330" t="s">
        <v>651</v>
      </c>
      <c r="C6" s="1123" t="str">
        <f>UPPER(DATA!O31)</f>
        <v>MEO</v>
      </c>
      <c r="D6" s="1123"/>
      <c r="E6" s="1123"/>
      <c r="F6" s="1124" t="str">
        <f>UPPER(DATA!O34)&amp;"_DISTRICT"</f>
        <v>PRAKASAM_DISTRICT</v>
      </c>
      <c r="G6" s="1124"/>
      <c r="H6" s="1123" t="str">
        <f>"    CFMS ID : "&amp;DATA!O30</f>
        <v xml:space="preserve">    CFMS ID : </v>
      </c>
      <c r="I6" s="1125"/>
      <c r="K6" s="1063" t="s">
        <v>352</v>
      </c>
      <c r="L6" s="1063"/>
      <c r="M6" s="1063"/>
    </row>
    <row r="7" spans="2:14" ht="14.1" customHeight="1">
      <c r="B7" s="72">
        <v>1</v>
      </c>
      <c r="C7" s="1126" t="s">
        <v>325</v>
      </c>
      <c r="D7" s="1127"/>
      <c r="E7" s="41"/>
      <c r="F7" s="1128" t="str">
        <f>IF(DATA!G38=0,"LIVING IN : OWN HOUSE","LIVING IN : RENTED HOUSE")</f>
        <v>LIVING IN : RENTED HOUSE</v>
      </c>
      <c r="G7" s="1129"/>
      <c r="H7" s="83">
        <f>'ANNEXURE I'!N25</f>
        <v>747079</v>
      </c>
      <c r="I7" s="314">
        <f>H7</f>
        <v>747079</v>
      </c>
      <c r="K7" s="65" t="s">
        <v>363</v>
      </c>
      <c r="L7" s="66" t="s">
        <v>441</v>
      </c>
      <c r="M7" s="55">
        <f>H9</f>
        <v>57319</v>
      </c>
    </row>
    <row r="8" spans="2:14" ht="14.1" customHeight="1">
      <c r="B8" s="73">
        <v>2</v>
      </c>
      <c r="C8" s="1069" t="s">
        <v>324</v>
      </c>
      <c r="D8" s="1070"/>
      <c r="E8" s="1070"/>
      <c r="F8" s="71"/>
      <c r="G8" s="67"/>
      <c r="H8" s="84"/>
      <c r="I8" s="85"/>
      <c r="K8" s="65" t="s">
        <v>364</v>
      </c>
      <c r="L8" s="141" t="s">
        <v>439</v>
      </c>
      <c r="M8" s="55">
        <f>M5</f>
        <v>37869</v>
      </c>
    </row>
    <row r="9" spans="2:14" ht="14.1" customHeight="1">
      <c r="B9" s="73"/>
      <c r="C9" s="46" t="s">
        <v>303</v>
      </c>
      <c r="D9" s="1059" t="s">
        <v>845</v>
      </c>
      <c r="E9" s="1059"/>
      <c r="F9" s="1059"/>
      <c r="G9" s="67"/>
      <c r="H9" s="84">
        <f>'ANNEXURE I'!G25+'ANNEXURE I'!H25</f>
        <v>57319</v>
      </c>
      <c r="I9" s="85"/>
      <c r="K9" s="65" t="s">
        <v>389</v>
      </c>
      <c r="L9" s="66" t="s">
        <v>436</v>
      </c>
      <c r="M9" s="55">
        <f>ROUND(('ANNEXURE I'!C25+'ANNEXURE I'!F25)*40%,0)</f>
        <v>246926</v>
      </c>
    </row>
    <row r="10" spans="2:14" ht="14.1" customHeight="1">
      <c r="B10" s="73"/>
      <c r="C10" s="46" t="s">
        <v>300</v>
      </c>
      <c r="D10" s="1059" t="str">
        <f>CONCATENATE("Rent paid (Minus) 10% of  SALARY  ( RENT @ Rs. ",DATA!G38," )")</f>
        <v>Rent paid (Minus) 10% of  SALARY  ( RENT @ Rs. 8300 )</v>
      </c>
      <c r="E10" s="1059"/>
      <c r="F10" s="1059"/>
      <c r="G10" s="67"/>
      <c r="H10" s="84">
        <f>M5</f>
        <v>37869</v>
      </c>
      <c r="I10" s="85"/>
      <c r="K10" s="1062" t="s">
        <v>440</v>
      </c>
      <c r="L10" s="1062"/>
      <c r="M10" s="55">
        <f>MIN(M7:M9)</f>
        <v>37869</v>
      </c>
    </row>
    <row r="11" spans="2:14" ht="14.1" customHeight="1">
      <c r="B11" s="72"/>
      <c r="C11" s="46" t="s">
        <v>297</v>
      </c>
      <c r="D11" s="1079" t="s">
        <v>351</v>
      </c>
      <c r="E11" s="1079"/>
      <c r="F11" s="1079"/>
      <c r="G11" s="68"/>
      <c r="H11" s="86">
        <f>ROUND(('ANNEXURE I'!C25+'ANNEXURE I'!F25)*40%,0)</f>
        <v>246926</v>
      </c>
      <c r="I11" s="85">
        <f>MIN(H9:H11)</f>
        <v>37869</v>
      </c>
      <c r="K11" s="1071" t="s">
        <v>653</v>
      </c>
      <c r="L11" s="1072"/>
      <c r="M11" s="331" t="s">
        <v>652</v>
      </c>
    </row>
    <row r="12" spans="2:14" ht="14.1" customHeight="1">
      <c r="B12" s="73">
        <v>3</v>
      </c>
      <c r="C12" s="1069" t="s">
        <v>349</v>
      </c>
      <c r="D12" s="1070"/>
      <c r="E12" s="1070"/>
      <c r="F12" s="614" t="s">
        <v>322</v>
      </c>
      <c r="G12" s="69"/>
      <c r="H12" s="86"/>
      <c r="I12" s="85">
        <f>I7-I11</f>
        <v>709210</v>
      </c>
      <c r="L12" s="252"/>
    </row>
    <row r="13" spans="2:14" ht="14.1" customHeight="1">
      <c r="B13" s="73">
        <v>4</v>
      </c>
      <c r="C13" s="1067" t="s">
        <v>321</v>
      </c>
      <c r="D13" s="1068"/>
      <c r="E13" s="1068"/>
      <c r="F13" s="51"/>
      <c r="G13" s="51"/>
      <c r="H13" s="86"/>
      <c r="I13" s="85"/>
    </row>
    <row r="14" spans="2:14" ht="14.1" customHeight="1">
      <c r="B14" s="72"/>
      <c r="C14" s="46" t="s">
        <v>303</v>
      </c>
      <c r="D14" s="1060" t="s">
        <v>449</v>
      </c>
      <c r="E14" s="1060"/>
      <c r="F14" s="48"/>
      <c r="G14" s="50"/>
      <c r="H14" s="86">
        <f>DATA!L20</f>
        <v>0</v>
      </c>
      <c r="I14" s="85"/>
    </row>
    <row r="15" spans="2:14" ht="14.1" customHeight="1">
      <c r="B15" s="72"/>
      <c r="C15" s="47" t="s">
        <v>300</v>
      </c>
      <c r="D15" s="1060" t="s">
        <v>320</v>
      </c>
      <c r="E15" s="1060"/>
      <c r="F15" s="48"/>
      <c r="G15" s="49"/>
      <c r="H15" s="86">
        <f>'ANNEXURE I'!R25</f>
        <v>2400</v>
      </c>
      <c r="I15" s="85">
        <f>SUM(H14:H15)</f>
        <v>2400</v>
      </c>
    </row>
    <row r="16" spans="2:14" ht="14.1" customHeight="1">
      <c r="B16" s="72">
        <v>5</v>
      </c>
      <c r="C16" s="1133" t="s">
        <v>319</v>
      </c>
      <c r="D16" s="1095"/>
      <c r="E16" s="1095"/>
      <c r="F16" s="614" t="s">
        <v>318</v>
      </c>
      <c r="G16" s="70"/>
      <c r="H16" s="86"/>
      <c r="I16" s="85">
        <f>I12-I15</f>
        <v>706810</v>
      </c>
      <c r="K16" s="151"/>
      <c r="M16" s="313"/>
      <c r="N16" s="313"/>
    </row>
    <row r="17" spans="2:13" ht="14.1" customHeight="1">
      <c r="B17" s="73"/>
      <c r="C17" s="1074" t="s">
        <v>333</v>
      </c>
      <c r="D17" s="1075"/>
      <c r="E17" s="1075"/>
      <c r="F17" s="1075"/>
      <c r="G17" s="1076"/>
      <c r="H17" s="86">
        <f>IF(I7&gt;0,40000,0)</f>
        <v>40000</v>
      </c>
      <c r="I17" s="85"/>
      <c r="K17" s="146"/>
      <c r="L17" s="146"/>
      <c r="M17" s="146"/>
    </row>
    <row r="18" spans="2:13" ht="14.1" customHeight="1">
      <c r="B18" s="73">
        <v>6</v>
      </c>
      <c r="C18" s="1069" t="s">
        <v>332</v>
      </c>
      <c r="D18" s="1070"/>
      <c r="E18" s="1070"/>
      <c r="F18" s="614" t="s">
        <v>862</v>
      </c>
      <c r="G18" s="69"/>
      <c r="H18" s="86"/>
      <c r="I18" s="85">
        <f>I16-H17</f>
        <v>666810</v>
      </c>
      <c r="K18" s="151"/>
      <c r="L18" s="151"/>
      <c r="M18" s="151"/>
    </row>
    <row r="19" spans="2:13" ht="14.1" customHeight="1">
      <c r="B19" s="72">
        <v>7</v>
      </c>
      <c r="C19" s="1060" t="s">
        <v>317</v>
      </c>
      <c r="D19" s="1060"/>
      <c r="E19" s="1060"/>
      <c r="F19" s="49" t="s">
        <v>315</v>
      </c>
      <c r="G19" s="49"/>
      <c r="H19" s="86">
        <f>DATA!G39</f>
        <v>15957</v>
      </c>
      <c r="I19" s="85"/>
    </row>
    <row r="20" spans="2:13" ht="14.1" customHeight="1">
      <c r="B20" s="72">
        <v>8</v>
      </c>
      <c r="C20" s="1060" t="s">
        <v>316</v>
      </c>
      <c r="D20" s="1060"/>
      <c r="E20" s="1060"/>
      <c r="F20" s="49" t="s">
        <v>315</v>
      </c>
      <c r="G20" s="49"/>
      <c r="H20" s="86">
        <f>DATA!G40</f>
        <v>0</v>
      </c>
      <c r="I20" s="85"/>
    </row>
    <row r="21" spans="2:13" ht="14.1" customHeight="1">
      <c r="B21" s="72">
        <v>9</v>
      </c>
      <c r="C21" s="1060" t="s">
        <v>370</v>
      </c>
      <c r="D21" s="1060"/>
      <c r="E21" s="1060"/>
      <c r="F21" s="49" t="s">
        <v>315</v>
      </c>
      <c r="G21" s="49"/>
      <c r="H21" s="86">
        <f>DATA!G41</f>
        <v>0</v>
      </c>
      <c r="I21" s="85">
        <f>SUM(H19:H21)</f>
        <v>15957</v>
      </c>
    </row>
    <row r="22" spans="2:13" ht="14.1" customHeight="1">
      <c r="B22" s="72">
        <v>10</v>
      </c>
      <c r="C22" s="1095" t="s">
        <v>451</v>
      </c>
      <c r="D22" s="1095"/>
      <c r="E22" s="1095"/>
      <c r="F22" s="614" t="s">
        <v>366</v>
      </c>
      <c r="G22" s="70"/>
      <c r="H22" s="86"/>
      <c r="I22" s="85">
        <f>SUM(I18,I21)</f>
        <v>682767</v>
      </c>
      <c r="K22" s="151"/>
      <c r="L22" s="151"/>
      <c r="M22" s="151"/>
    </row>
    <row r="23" spans="2:13" ht="14.1" customHeight="1">
      <c r="B23" s="72">
        <v>11</v>
      </c>
      <c r="C23" s="1135" t="s">
        <v>371</v>
      </c>
      <c r="D23" s="1059"/>
      <c r="E23" s="1059"/>
      <c r="F23" s="1059" t="s">
        <v>377</v>
      </c>
      <c r="G23" s="1059"/>
      <c r="H23" s="86"/>
      <c r="I23" s="85"/>
    </row>
    <row r="24" spans="2:13" ht="14.1" customHeight="1">
      <c r="B24" s="72"/>
      <c r="C24" s="47" t="s">
        <v>303</v>
      </c>
      <c r="D24" s="1073" t="s">
        <v>334</v>
      </c>
      <c r="E24" s="1073"/>
      <c r="F24" s="1060" t="s">
        <v>378</v>
      </c>
      <c r="G24" s="1061"/>
      <c r="H24" s="86">
        <f>'ANNEXURE I'!T25</f>
        <v>870</v>
      </c>
      <c r="I24" s="85"/>
    </row>
    <row r="25" spans="2:13" ht="14.1" customHeight="1">
      <c r="B25" s="72"/>
      <c r="C25" s="46" t="s">
        <v>300</v>
      </c>
      <c r="D25" s="1060" t="s">
        <v>346</v>
      </c>
      <c r="E25" s="1060"/>
      <c r="F25" s="48"/>
      <c r="G25" s="48"/>
      <c r="H25" s="86">
        <f>DATA!G42</f>
        <v>19045</v>
      </c>
      <c r="I25" s="85"/>
    </row>
    <row r="26" spans="2:13" ht="14.1" customHeight="1">
      <c r="B26" s="72"/>
      <c r="C26" s="46" t="s">
        <v>297</v>
      </c>
      <c r="D26" s="1060" t="s">
        <v>345</v>
      </c>
      <c r="E26" s="1060"/>
      <c r="F26" s="48"/>
      <c r="G26" s="48"/>
      <c r="H26" s="86">
        <f>DATA!G43</f>
        <v>0</v>
      </c>
      <c r="I26" s="85"/>
    </row>
    <row r="27" spans="2:13" ht="14.1" customHeight="1">
      <c r="B27" s="72"/>
      <c r="C27" s="46" t="s">
        <v>294</v>
      </c>
      <c r="D27" s="1060" t="s">
        <v>454</v>
      </c>
      <c r="E27" s="1060"/>
      <c r="F27" s="1113" t="s">
        <v>336</v>
      </c>
      <c r="G27" s="1114"/>
      <c r="H27" s="86">
        <f>DATA!G44</f>
        <v>0</v>
      </c>
      <c r="I27" s="85"/>
    </row>
    <row r="28" spans="2:13" ht="14.1" customHeight="1">
      <c r="B28" s="72"/>
      <c r="C28" s="47" t="s">
        <v>313</v>
      </c>
      <c r="D28" s="1060" t="s">
        <v>455</v>
      </c>
      <c r="E28" s="1060"/>
      <c r="F28" s="1077" t="s">
        <v>350</v>
      </c>
      <c r="G28" s="1078"/>
      <c r="H28" s="86">
        <f>DATA!G45</f>
        <v>0</v>
      </c>
      <c r="I28" s="85"/>
    </row>
    <row r="29" spans="2:13" ht="14.1" customHeight="1">
      <c r="B29" s="72"/>
      <c r="C29" s="46" t="s">
        <v>312</v>
      </c>
      <c r="D29" s="1060" t="s">
        <v>456</v>
      </c>
      <c r="E29" s="1060"/>
      <c r="F29" s="1060" t="s">
        <v>337</v>
      </c>
      <c r="G29" s="1061"/>
      <c r="H29" s="86">
        <f>DATA!G46</f>
        <v>0</v>
      </c>
      <c r="I29" s="85"/>
    </row>
    <row r="30" spans="2:13" ht="14.1" customHeight="1">
      <c r="B30" s="72"/>
      <c r="C30" s="47" t="s">
        <v>311</v>
      </c>
      <c r="D30" s="1060" t="s">
        <v>335</v>
      </c>
      <c r="E30" s="1060"/>
      <c r="F30" s="1060" t="s">
        <v>378</v>
      </c>
      <c r="G30" s="1061"/>
      <c r="H30" s="86">
        <f>'ANNEXURE I'!S25</f>
        <v>1080</v>
      </c>
      <c r="I30" s="85"/>
    </row>
    <row r="31" spans="2:13" ht="14.1" customHeight="1">
      <c r="B31" s="72"/>
      <c r="C31" s="1135" t="s">
        <v>371</v>
      </c>
      <c r="D31" s="1059"/>
      <c r="E31" s="1059"/>
      <c r="F31" s="1059" t="s">
        <v>247</v>
      </c>
      <c r="G31" s="1059"/>
      <c r="H31" s="86"/>
      <c r="I31" s="85">
        <f>SUM(H24:H30)</f>
        <v>20995</v>
      </c>
    </row>
    <row r="32" spans="2:13" ht="14.1" customHeight="1">
      <c r="B32" s="72">
        <v>12</v>
      </c>
      <c r="C32" s="1095" t="s">
        <v>314</v>
      </c>
      <c r="D32" s="1095"/>
      <c r="E32" s="1095"/>
      <c r="F32" s="613" t="s">
        <v>367</v>
      </c>
      <c r="G32" s="69"/>
      <c r="H32" s="86"/>
      <c r="I32" s="85">
        <f>I22-I31</f>
        <v>661772</v>
      </c>
      <c r="K32" s="151"/>
      <c r="L32" s="151"/>
      <c r="M32" s="151"/>
    </row>
    <row r="33" spans="2:13" ht="14.1" customHeight="1">
      <c r="B33" s="72">
        <v>13</v>
      </c>
      <c r="C33" s="1135" t="s">
        <v>372</v>
      </c>
      <c r="D33" s="1059"/>
      <c r="E33" s="1059"/>
      <c r="F33" s="1134"/>
      <c r="G33" s="1134"/>
      <c r="H33" s="86"/>
      <c r="I33" s="85"/>
      <c r="K33" s="143">
        <f>IF(AND(DATA!G3="CPS",DATA!L40="YES"),1,0)</f>
        <v>0</v>
      </c>
      <c r="L33" s="1065" t="s">
        <v>353</v>
      </c>
      <c r="M33" s="1066"/>
    </row>
    <row r="34" spans="2:13" ht="14.1" customHeight="1">
      <c r="B34" s="72"/>
      <c r="C34" s="46" t="s">
        <v>303</v>
      </c>
      <c r="D34" s="1060" t="str">
        <f>CONCATENATE("GPF_CPS  :   A/c No. :  ",DATA!O39)</f>
        <v xml:space="preserve">GPF_CPS  :   A/c No. :  </v>
      </c>
      <c r="E34" s="1060"/>
      <c r="F34" s="71"/>
      <c r="G34" s="67"/>
      <c r="H34" s="84">
        <f>PRO!BF2</f>
        <v>133075</v>
      </c>
      <c r="I34" s="85"/>
      <c r="K34" s="1064" t="str">
        <f>IF(AND(DATA!G3="CPS",DATA!L40="YES"),"CPS DEDUCTION  =","")</f>
        <v/>
      </c>
      <c r="L34" s="1064"/>
      <c r="M34" s="142">
        <f>PRO!BC2</f>
        <v>133075</v>
      </c>
    </row>
    <row r="35" spans="2:13" ht="14.1" customHeight="1">
      <c r="B35" s="72"/>
      <c r="C35" s="46" t="s">
        <v>300</v>
      </c>
      <c r="D35" s="1060" t="str">
        <f>CONCATENATE("A.P.G.L.I.  :   A/c No. :  ",DATA!O40)</f>
        <v xml:space="preserve">A.P.G.L.I.  :   A/c No. :  </v>
      </c>
      <c r="E35" s="1060"/>
      <c r="F35" s="71"/>
      <c r="G35" s="67"/>
      <c r="H35" s="84">
        <f>PRO!BF3</f>
        <v>16800</v>
      </c>
      <c r="I35" s="85"/>
      <c r="K35" s="1064" t="str">
        <f>IF(AND(DATA!G3="CPS",DATA!L40="YES"),"80CCD (1)      =","")</f>
        <v/>
      </c>
      <c r="L35" s="1064"/>
      <c r="M35" s="142">
        <f>PRO!BF2</f>
        <v>133075</v>
      </c>
    </row>
    <row r="36" spans="2:13" ht="14.1" customHeight="1">
      <c r="B36" s="72"/>
      <c r="C36" s="46" t="s">
        <v>297</v>
      </c>
      <c r="D36" s="1060" t="s">
        <v>339</v>
      </c>
      <c r="E36" s="1060"/>
      <c r="F36" s="71"/>
      <c r="G36" s="67"/>
      <c r="H36" s="84">
        <f>PRO!BF4</f>
        <v>720</v>
      </c>
      <c r="I36" s="85"/>
      <c r="K36" s="1064" t="str">
        <f>IF(AND(DATA!G3="CPS",DATA!L40="YES"),"80CCD (1)(B) =","")</f>
        <v/>
      </c>
      <c r="L36" s="1064"/>
      <c r="M36" s="142">
        <f>PRO!BF16</f>
        <v>0</v>
      </c>
    </row>
    <row r="37" spans="2:13" ht="14.1" customHeight="1">
      <c r="B37" s="72"/>
      <c r="C37" s="46" t="s">
        <v>294</v>
      </c>
      <c r="D37" s="1060" t="str">
        <f>IF(PRO!BF5=0,"L.I.C. PREMIUMS (From Salary Deduction )",
IF('ANNEXURE I'!U25=0,"L.I.C. PREMIUMS ( BY HAND )",
IF(AND(PRO!BF5&gt;0,'ANNEXURE I'!U25&gt;0),"L.I.C. PREMIUMS ( BY HAND ) + S.S.S. ( From Salary Deduction )",)))</f>
        <v>L.I.C. PREMIUMS (From Salary Deduction )</v>
      </c>
      <c r="E37" s="1060"/>
      <c r="F37" s="1060"/>
      <c r="G37" s="1061"/>
      <c r="H37" s="84">
        <f>PRO!BF5+'ANNEXURE I'!U25</f>
        <v>0</v>
      </c>
      <c r="I37" s="85"/>
      <c r="L37" s="137"/>
      <c r="M37" s="138"/>
    </row>
    <row r="38" spans="2:13" ht="14.1" customHeight="1">
      <c r="B38" s="72"/>
      <c r="C38" s="46" t="s">
        <v>313</v>
      </c>
      <c r="D38" s="1060" t="s">
        <v>340</v>
      </c>
      <c r="E38" s="1060"/>
      <c r="F38" s="71"/>
      <c r="G38" s="67"/>
      <c r="H38" s="84">
        <f>PRO!BF6</f>
        <v>0</v>
      </c>
      <c r="I38" s="85"/>
    </row>
    <row r="39" spans="2:13" ht="14.1" customHeight="1">
      <c r="B39" s="72"/>
      <c r="C39" s="47" t="s">
        <v>312</v>
      </c>
      <c r="D39" s="1060" t="s">
        <v>338</v>
      </c>
      <c r="E39" s="1060"/>
      <c r="F39" s="71"/>
      <c r="G39" s="67"/>
      <c r="H39" s="84">
        <f>PRO!BF7</f>
        <v>0</v>
      </c>
      <c r="I39" s="85"/>
    </row>
    <row r="40" spans="2:13" ht="14.1" customHeight="1">
      <c r="B40" s="72"/>
      <c r="C40" s="46" t="s">
        <v>311</v>
      </c>
      <c r="D40" s="1060" t="s">
        <v>341</v>
      </c>
      <c r="E40" s="1060"/>
      <c r="F40" s="71"/>
      <c r="G40" s="67"/>
      <c r="H40" s="84">
        <f>PRO!BF8</f>
        <v>25000</v>
      </c>
      <c r="I40" s="85"/>
      <c r="J40" s="61"/>
      <c r="K40" s="61"/>
    </row>
    <row r="41" spans="2:13" ht="14.1" customHeight="1">
      <c r="B41" s="72"/>
      <c r="C41" s="46" t="s">
        <v>310</v>
      </c>
      <c r="D41" s="1060" t="s">
        <v>234</v>
      </c>
      <c r="E41" s="1060"/>
      <c r="F41" s="71"/>
      <c r="G41" s="67"/>
      <c r="H41" s="84">
        <f>PRO!BF9</f>
        <v>0</v>
      </c>
      <c r="I41" s="85"/>
      <c r="J41" s="61"/>
      <c r="K41" s="61"/>
    </row>
    <row r="42" spans="2:13" ht="14.1" customHeight="1">
      <c r="B42" s="72"/>
      <c r="C42" s="46" t="s">
        <v>309</v>
      </c>
      <c r="D42" s="1060" t="s">
        <v>235</v>
      </c>
      <c r="E42" s="1060"/>
      <c r="F42" s="71"/>
      <c r="G42" s="67"/>
      <c r="H42" s="84">
        <f>PRO!BF10</f>
        <v>0</v>
      </c>
      <c r="I42" s="85"/>
      <c r="J42" s="61"/>
      <c r="K42" s="61"/>
    </row>
    <row r="43" spans="2:13" ht="14.1" customHeight="1">
      <c r="B43" s="72"/>
      <c r="C43" s="46" t="s">
        <v>308</v>
      </c>
      <c r="D43" s="1060" t="s">
        <v>236</v>
      </c>
      <c r="E43" s="1060"/>
      <c r="F43" s="71"/>
      <c r="G43" s="67"/>
      <c r="H43" s="84">
        <f>PRO!BF11</f>
        <v>0</v>
      </c>
      <c r="I43" s="85"/>
      <c r="J43" s="61"/>
      <c r="K43" s="61"/>
      <c r="L43" s="90"/>
    </row>
    <row r="44" spans="2:13" ht="14.1" customHeight="1">
      <c r="B44" s="72"/>
      <c r="C44" s="46" t="s">
        <v>342</v>
      </c>
      <c r="D44" s="1060" t="str">
        <f>DATA!I35</f>
        <v>NATIONAL SAVINGS CERTIFICATE</v>
      </c>
      <c r="E44" s="1060"/>
      <c r="F44" s="71"/>
      <c r="G44" s="67"/>
      <c r="H44" s="84">
        <f>PRO!BF12</f>
        <v>0</v>
      </c>
      <c r="I44" s="85"/>
      <c r="J44" s="61"/>
      <c r="K44" s="61"/>
    </row>
    <row r="45" spans="2:13" ht="14.1" customHeight="1">
      <c r="B45" s="72"/>
      <c r="C45" s="46" t="s">
        <v>343</v>
      </c>
      <c r="D45" s="1060" t="str">
        <f>DATA!I36</f>
        <v>5 Yrs Fixed Deposits ( Bank / Postal )</v>
      </c>
      <c r="E45" s="1060"/>
      <c r="F45" s="71"/>
      <c r="G45" s="67"/>
      <c r="H45" s="84">
        <f>PRO!BF13</f>
        <v>0</v>
      </c>
      <c r="I45" s="85"/>
      <c r="J45" s="61"/>
      <c r="K45" s="61"/>
      <c r="L45" s="94"/>
    </row>
    <row r="46" spans="2:13" ht="14.1" customHeight="1">
      <c r="B46" s="72"/>
      <c r="C46" s="46" t="s">
        <v>344</v>
      </c>
      <c r="D46" s="1060" t="str">
        <f>DATA!I37</f>
        <v>OTHER MUTUAL FUNDS……………….</v>
      </c>
      <c r="E46" s="1060"/>
      <c r="F46" s="71"/>
      <c r="G46" s="67"/>
      <c r="H46" s="84">
        <f>PRO!BF14</f>
        <v>0</v>
      </c>
      <c r="I46" s="85"/>
      <c r="J46" s="61"/>
      <c r="K46" s="1107" t="s">
        <v>393</v>
      </c>
      <c r="L46" s="1108"/>
      <c r="M46" s="1109"/>
    </row>
    <row r="47" spans="2:13" ht="14.1" customHeight="1">
      <c r="B47" s="72"/>
      <c r="C47" s="1133" t="s">
        <v>373</v>
      </c>
      <c r="D47" s="1095"/>
      <c r="E47" s="1095"/>
      <c r="F47" s="1057" t="s">
        <v>365</v>
      </c>
      <c r="G47" s="1058"/>
      <c r="H47" s="86">
        <f>SUM(H34:H46)</f>
        <v>175595</v>
      </c>
      <c r="I47" s="87">
        <f>IF(H47&gt;150000,150000, H47)</f>
        <v>150000</v>
      </c>
      <c r="J47" s="61"/>
      <c r="K47" s="65" t="s">
        <v>363</v>
      </c>
      <c r="L47" s="101" t="s">
        <v>394</v>
      </c>
      <c r="M47" s="97">
        <f>I32</f>
        <v>661772</v>
      </c>
    </row>
    <row r="48" spans="2:13" ht="14.1" customHeight="1">
      <c r="B48" s="72"/>
      <c r="C48" s="1077" t="s">
        <v>374</v>
      </c>
      <c r="D48" s="1077"/>
      <c r="E48" s="1096"/>
      <c r="F48" s="1057" t="s">
        <v>307</v>
      </c>
      <c r="G48" s="1058"/>
      <c r="H48" s="86">
        <f>PRO!BF16</f>
        <v>0</v>
      </c>
      <c r="I48" s="87">
        <f>IF(H48&gt;50000, 50000,H48)</f>
        <v>0</v>
      </c>
      <c r="J48" s="61"/>
      <c r="K48" s="65" t="s">
        <v>364</v>
      </c>
      <c r="L48" s="99" t="s">
        <v>388</v>
      </c>
      <c r="M48" s="97">
        <f>I47</f>
        <v>150000</v>
      </c>
    </row>
    <row r="49" spans="2:13" ht="14.1" customHeight="1">
      <c r="B49" s="72">
        <v>14</v>
      </c>
      <c r="C49" s="54" t="s">
        <v>303</v>
      </c>
      <c r="D49" s="1060" t="str">
        <f>DATA!I38</f>
        <v>Rajiv Gandhi Equity Savings Scheme</v>
      </c>
      <c r="E49" s="1060"/>
      <c r="F49" s="1057" t="s">
        <v>347</v>
      </c>
      <c r="G49" s="1058"/>
      <c r="H49" s="86">
        <f>DATA!L38</f>
        <v>0</v>
      </c>
      <c r="I49" s="87">
        <f>IF(H49&gt;25000,25000,H49)</f>
        <v>0</v>
      </c>
      <c r="J49" s="61"/>
      <c r="K49" s="65" t="s">
        <v>389</v>
      </c>
      <c r="L49" s="99" t="s">
        <v>390</v>
      </c>
      <c r="M49" s="97">
        <f>SUM(I48,I49,I50)</f>
        <v>0</v>
      </c>
    </row>
    <row r="50" spans="2:13" ht="14.1" customHeight="1">
      <c r="B50" s="72"/>
      <c r="C50" s="54" t="s">
        <v>300</v>
      </c>
      <c r="D50" s="1060" t="str">
        <f>DATA!I39</f>
        <v>New Pension Scheme ( BY HAND )</v>
      </c>
      <c r="E50" s="1060"/>
      <c r="F50" s="1057" t="s">
        <v>307</v>
      </c>
      <c r="G50" s="1058"/>
      <c r="H50" s="86">
        <f>DATA!L39</f>
        <v>0</v>
      </c>
      <c r="I50" s="87">
        <f>IF(H50&gt;50000,50000,H50)</f>
        <v>0</v>
      </c>
      <c r="J50" s="61"/>
      <c r="K50" s="98"/>
      <c r="L50" s="100" t="s">
        <v>392</v>
      </c>
      <c r="M50" s="97">
        <f>M47-M48-M49</f>
        <v>511772</v>
      </c>
    </row>
    <row r="51" spans="2:13" ht="14.1" customHeight="1">
      <c r="B51" s="72">
        <v>15</v>
      </c>
      <c r="C51" s="1117" t="s">
        <v>306</v>
      </c>
      <c r="D51" s="1117"/>
      <c r="E51" s="1118"/>
      <c r="F51" s="612" t="s">
        <v>387</v>
      </c>
      <c r="G51" s="1110" t="s">
        <v>305</v>
      </c>
      <c r="H51" s="1111"/>
      <c r="I51" s="85">
        <f>ROUND(I32-(I47+I48+I49+I50),-1)</f>
        <v>511770</v>
      </c>
      <c r="J51" s="61"/>
      <c r="K51" s="1115" t="s">
        <v>391</v>
      </c>
      <c r="L51" s="1115"/>
      <c r="M51" s="97">
        <f>ROUND(M50,-1)</f>
        <v>511770</v>
      </c>
    </row>
    <row r="52" spans="2:13" ht="14.1" customHeight="1">
      <c r="B52" s="72">
        <v>16</v>
      </c>
      <c r="C52" s="1112" t="s">
        <v>304</v>
      </c>
      <c r="D52" s="1112"/>
      <c r="E52" s="74" t="s">
        <v>375</v>
      </c>
      <c r="F52" s="45"/>
      <c r="G52" s="1088"/>
      <c r="H52" s="1089"/>
      <c r="I52" s="85"/>
      <c r="J52" s="61"/>
    </row>
    <row r="53" spans="2:13" ht="14.1" customHeight="1">
      <c r="B53" s="72"/>
      <c r="C53" s="44" t="s">
        <v>303</v>
      </c>
      <c r="D53" s="52" t="s">
        <v>302</v>
      </c>
      <c r="E53" s="43" t="s">
        <v>301</v>
      </c>
      <c r="F53" s="758">
        <f>IF(AND(I51&lt;=250000),0,250000)</f>
        <v>250000</v>
      </c>
      <c r="G53" s="265">
        <v>0</v>
      </c>
      <c r="H53" s="86">
        <f>ROUND(F53*G53,0)</f>
        <v>0</v>
      </c>
      <c r="I53" s="85"/>
      <c r="J53" s="61"/>
    </row>
    <row r="54" spans="2:13" ht="14.1" customHeight="1">
      <c r="B54" s="72"/>
      <c r="C54" s="44" t="s">
        <v>300</v>
      </c>
      <c r="D54" s="52" t="s">
        <v>299</v>
      </c>
      <c r="E54" s="43" t="s">
        <v>298</v>
      </c>
      <c r="F54" s="759">
        <f>IF(AND(I51&gt;250000,I51&lt;500000),(I51-F53),IF(AND(I51&gt;500000),250000,0))</f>
        <v>250000</v>
      </c>
      <c r="G54" s="265">
        <v>0.05</v>
      </c>
      <c r="H54" s="86">
        <f>ROUND(F54*G54,0)</f>
        <v>12500</v>
      </c>
      <c r="I54" s="85"/>
      <c r="J54" s="61"/>
      <c r="K54" s="61"/>
      <c r="L54" s="96"/>
    </row>
    <row r="55" spans="2:13" ht="14.1" customHeight="1">
      <c r="B55" s="72"/>
      <c r="C55" s="44" t="s">
        <v>297</v>
      </c>
      <c r="D55" s="52" t="s">
        <v>296</v>
      </c>
      <c r="E55" s="43" t="s">
        <v>295</v>
      </c>
      <c r="F55" s="759">
        <f>IF(AND(I51&gt;=500000,I51&lt;1000000),I51-(F53+F54),IF(AND(I51&gt;1000000),500000,0))</f>
        <v>11770</v>
      </c>
      <c r="G55" s="265">
        <v>0.2</v>
      </c>
      <c r="H55" s="86">
        <f>ROUND(F55*G55,0)</f>
        <v>2354</v>
      </c>
      <c r="I55" s="85"/>
      <c r="J55" s="61"/>
      <c r="K55" s="61"/>
    </row>
    <row r="56" spans="2:13" ht="14.1" customHeight="1">
      <c r="B56" s="72"/>
      <c r="C56" s="44" t="s">
        <v>294</v>
      </c>
      <c r="D56" s="52" t="s">
        <v>293</v>
      </c>
      <c r="E56" s="43" t="s">
        <v>292</v>
      </c>
      <c r="F56" s="759">
        <f>IF(AND(I51&gt;1000000),(I51-1000000),0)</f>
        <v>0</v>
      </c>
      <c r="G56" s="265">
        <v>0.3</v>
      </c>
      <c r="H56" s="86">
        <f>ROUND(F56*G56,0)</f>
        <v>0</v>
      </c>
      <c r="I56" s="85"/>
      <c r="J56" s="61"/>
      <c r="K56" s="61"/>
    </row>
    <row r="57" spans="2:13" ht="14.1" customHeight="1">
      <c r="B57" s="73"/>
      <c r="C57" s="1105" t="s">
        <v>304</v>
      </c>
      <c r="D57" s="1105"/>
      <c r="E57" s="152" t="s">
        <v>291</v>
      </c>
      <c r="F57" s="1106"/>
      <c r="G57" s="1106"/>
      <c r="H57" s="42"/>
      <c r="I57" s="85">
        <f>SUM(H53:H56)</f>
        <v>14854</v>
      </c>
      <c r="J57" s="61"/>
      <c r="K57" s="61"/>
    </row>
    <row r="58" spans="2:13" ht="14.1" customHeight="1">
      <c r="B58" s="72">
        <v>17</v>
      </c>
      <c r="C58" s="1074" t="s">
        <v>290</v>
      </c>
      <c r="D58" s="1075"/>
      <c r="E58" s="1076"/>
      <c r="F58" s="1086" t="str">
        <f>IF(I51&lt;=350000,"TAX REBATE IS APPLIED",  "TAX REBATE IS NOT APPLIED")</f>
        <v>TAX REBATE IS NOT APPLIED</v>
      </c>
      <c r="G58" s="1087"/>
      <c r="H58" s="86">
        <f>IF(I51&gt;350000,0,IF(I57=0,0,IF(I57&lt;=2500,I57,IF(I57&gt;2500,2500,0))))</f>
        <v>0</v>
      </c>
      <c r="I58" s="85"/>
      <c r="J58" s="61"/>
      <c r="K58" s="61"/>
    </row>
    <row r="59" spans="2:13" ht="14.1" customHeight="1">
      <c r="B59" s="72">
        <v>18</v>
      </c>
      <c r="C59" s="1059" t="s">
        <v>368</v>
      </c>
      <c r="D59" s="1059"/>
      <c r="E59" s="1059"/>
      <c r="F59" s="1083"/>
      <c r="G59" s="1083"/>
      <c r="H59" s="42"/>
      <c r="I59" s="85">
        <f>IF(AND(I51&lt;=350000,I57&gt;2500),(I57-H58),IF(AND(I51&gt;350000),I57,0))</f>
        <v>14854</v>
      </c>
      <c r="J59" s="61"/>
      <c r="K59" s="61"/>
    </row>
    <row r="60" spans="2:13" ht="14.1" customHeight="1">
      <c r="B60" s="73">
        <v>19</v>
      </c>
      <c r="C60" s="1130" t="s">
        <v>826</v>
      </c>
      <c r="D60" s="1131"/>
      <c r="E60" s="1132"/>
      <c r="F60" s="761"/>
      <c r="G60" s="760" t="str">
        <f>IF(I59&gt;0,I59&amp;" x "&amp;" 4% = ","")</f>
        <v xml:space="preserve">14854 x  4% = </v>
      </c>
      <c r="H60" s="589">
        <f>ROUND(I59*4%,0)</f>
        <v>594</v>
      </c>
      <c r="I60" s="590"/>
      <c r="J60" s="61"/>
      <c r="K60" s="61"/>
      <c r="L60" s="93"/>
    </row>
    <row r="61" spans="2:13" ht="14.1" customHeight="1">
      <c r="B61" s="72">
        <v>20</v>
      </c>
      <c r="C61" s="1059" t="s">
        <v>369</v>
      </c>
      <c r="D61" s="1059"/>
      <c r="E61" s="1059"/>
      <c r="F61" s="614" t="s">
        <v>860</v>
      </c>
      <c r="G61" s="591" t="str">
        <f>IF(I59=0,"",I59&amp;" + "&amp;H60&amp;" = ")</f>
        <v xml:space="preserve">14854 + 594 = </v>
      </c>
      <c r="H61" s="42"/>
      <c r="I61" s="85">
        <f>SUM(I59,H60)</f>
        <v>15448</v>
      </c>
    </row>
    <row r="62" spans="2:13" ht="14.1" customHeight="1">
      <c r="B62" s="396">
        <v>21</v>
      </c>
      <c r="C62" s="1074" t="s">
        <v>704</v>
      </c>
      <c r="D62" s="1075"/>
      <c r="E62" s="1076"/>
      <c r="F62" s="1086" t="str">
        <f>IF(H62&gt;0,"TAX RELIEF IS APPLIED",  "TAX RELIEF IS NOT APPLIED")</f>
        <v>TAX RELIEF IS NOT APPLIED</v>
      </c>
      <c r="G62" s="1087"/>
      <c r="H62" s="587">
        <f>RELIEF!X16</f>
        <v>0</v>
      </c>
      <c r="I62" s="588">
        <f>I61-H62</f>
        <v>15448</v>
      </c>
    </row>
    <row r="63" spans="2:13" ht="14.1" customHeight="1">
      <c r="B63" s="72">
        <v>22</v>
      </c>
      <c r="C63" s="1074" t="s">
        <v>846</v>
      </c>
      <c r="D63" s="1075"/>
      <c r="E63" s="1076"/>
      <c r="F63" s="1081" t="s">
        <v>348</v>
      </c>
      <c r="G63" s="1082"/>
      <c r="H63" s="587">
        <f>'ANNEXURE I'!W25</f>
        <v>5500</v>
      </c>
      <c r="I63" s="588"/>
    </row>
    <row r="64" spans="2:13" ht="14.1" customHeight="1">
      <c r="B64" s="72">
        <v>23</v>
      </c>
      <c r="C64" s="1095" t="s">
        <v>847</v>
      </c>
      <c r="D64" s="1095"/>
      <c r="E64" s="1095"/>
      <c r="F64" s="614" t="s">
        <v>861</v>
      </c>
      <c r="G64" s="53"/>
      <c r="H64" s="42"/>
      <c r="I64" s="85">
        <f>I61-H62-H63</f>
        <v>9948</v>
      </c>
    </row>
    <row r="65" spans="2:9" ht="15.95" customHeight="1">
      <c r="B65" s="1090" t="str">
        <f>IF(DATA!G38=0,"",IF(DATA!G38="","",CONCATENATE(" This is certify that I have paid an amount of Rs. ",M3," towards house rent for the F.Y. 2018-19. "," (RENT = Rs. ",DATA!G38," x 12 Months)")))</f>
        <v xml:space="preserve"> This is certify that I have paid an amount of Rs. 99600 towards house rent for the F.Y. 2018-19.  (RENT = Rs. 8300 x 12 Months)</v>
      </c>
      <c r="C65" s="1091"/>
      <c r="D65" s="1091"/>
      <c r="E65" s="1091"/>
      <c r="F65" s="1091"/>
      <c r="G65" s="1091"/>
      <c r="H65" s="1091"/>
      <c r="I65" s="1092"/>
    </row>
    <row r="66" spans="2:9" ht="39.950000000000003" customHeight="1" thickBot="1">
      <c r="B66" s="1084" t="s">
        <v>246</v>
      </c>
      <c r="C66" s="1085"/>
      <c r="D66" s="1085"/>
      <c r="E66" s="1085"/>
      <c r="F66" s="1093" t="s">
        <v>289</v>
      </c>
      <c r="G66" s="1093"/>
      <c r="H66" s="1093"/>
      <c r="I66" s="1094"/>
    </row>
    <row r="67" spans="2:9" s="88" customFormat="1" ht="11.1" customHeight="1" thickTop="1">
      <c r="B67" s="1080" t="s">
        <v>268</v>
      </c>
      <c r="C67" s="1080"/>
      <c r="D67" s="1080"/>
      <c r="E67" s="1080"/>
      <c r="F67" s="1080"/>
      <c r="G67" s="1080"/>
      <c r="H67" s="1080"/>
      <c r="I67" s="1080"/>
    </row>
  </sheetData>
  <sheetProtection password="C6B1" sheet="1" objects="1" scenarios="1" selectLockedCells="1" selectUnlockedCells="1"/>
  <protectedRanges>
    <protectedRange sqref="I59" name="Range5_1"/>
  </protectedRanges>
  <mergeCells count="103">
    <mergeCell ref="F48:G48"/>
    <mergeCell ref="C60:E60"/>
    <mergeCell ref="C19:E19"/>
    <mergeCell ref="C20:E20"/>
    <mergeCell ref="C21:E21"/>
    <mergeCell ref="C22:E22"/>
    <mergeCell ref="C5:E5"/>
    <mergeCell ref="D9:F9"/>
    <mergeCell ref="D30:E30"/>
    <mergeCell ref="D29:E29"/>
    <mergeCell ref="D46:E46"/>
    <mergeCell ref="D15:E15"/>
    <mergeCell ref="C16:E16"/>
    <mergeCell ref="F29:G29"/>
    <mergeCell ref="F33:G33"/>
    <mergeCell ref="D37:G37"/>
    <mergeCell ref="C33:E33"/>
    <mergeCell ref="C23:E23"/>
    <mergeCell ref="C12:E12"/>
    <mergeCell ref="D14:E14"/>
    <mergeCell ref="F23:G23"/>
    <mergeCell ref="C58:E58"/>
    <mergeCell ref="C47:E47"/>
    <mergeCell ref="C31:E31"/>
    <mergeCell ref="F4:G4"/>
    <mergeCell ref="H4:I4"/>
    <mergeCell ref="H5:I5"/>
    <mergeCell ref="F5:G5"/>
    <mergeCell ref="C6:E6"/>
    <mergeCell ref="F6:G6"/>
    <mergeCell ref="H6:I6"/>
    <mergeCell ref="C4:E4"/>
    <mergeCell ref="C7:D7"/>
    <mergeCell ref="F7:G7"/>
    <mergeCell ref="E2:G2"/>
    <mergeCell ref="H2:I2"/>
    <mergeCell ref="B3:D3"/>
    <mergeCell ref="E3:G3"/>
    <mergeCell ref="H3:I3"/>
    <mergeCell ref="K2:M2"/>
    <mergeCell ref="C57:D57"/>
    <mergeCell ref="F57:G57"/>
    <mergeCell ref="K46:M46"/>
    <mergeCell ref="G51:H51"/>
    <mergeCell ref="C52:D52"/>
    <mergeCell ref="D26:E26"/>
    <mergeCell ref="D27:E27"/>
    <mergeCell ref="F27:G27"/>
    <mergeCell ref="K51:L51"/>
    <mergeCell ref="D35:E35"/>
    <mergeCell ref="C32:E32"/>
    <mergeCell ref="D43:E43"/>
    <mergeCell ref="D42:E42"/>
    <mergeCell ref="D36:E36"/>
    <mergeCell ref="B2:D2"/>
    <mergeCell ref="K36:L36"/>
    <mergeCell ref="C51:E51"/>
    <mergeCell ref="F50:G50"/>
    <mergeCell ref="B67:I67"/>
    <mergeCell ref="D38:E38"/>
    <mergeCell ref="D39:E39"/>
    <mergeCell ref="D40:E40"/>
    <mergeCell ref="D49:E49"/>
    <mergeCell ref="F49:G49"/>
    <mergeCell ref="C63:E63"/>
    <mergeCell ref="F63:G63"/>
    <mergeCell ref="C59:E59"/>
    <mergeCell ref="D50:E50"/>
    <mergeCell ref="D41:E41"/>
    <mergeCell ref="F59:G59"/>
    <mergeCell ref="D44:E44"/>
    <mergeCell ref="D45:E45"/>
    <mergeCell ref="B66:E66"/>
    <mergeCell ref="F58:G58"/>
    <mergeCell ref="G52:H52"/>
    <mergeCell ref="B65:I65"/>
    <mergeCell ref="C62:E62"/>
    <mergeCell ref="F62:G62"/>
    <mergeCell ref="F66:I66"/>
    <mergeCell ref="C64:E64"/>
    <mergeCell ref="C61:E61"/>
    <mergeCell ref="C48:E48"/>
    <mergeCell ref="F47:G47"/>
    <mergeCell ref="F31:G31"/>
    <mergeCell ref="F30:G30"/>
    <mergeCell ref="D34:E34"/>
    <mergeCell ref="K10:L10"/>
    <mergeCell ref="K6:M6"/>
    <mergeCell ref="K34:L34"/>
    <mergeCell ref="K35:L35"/>
    <mergeCell ref="L33:M33"/>
    <mergeCell ref="C13:E13"/>
    <mergeCell ref="C18:E18"/>
    <mergeCell ref="K11:L11"/>
    <mergeCell ref="D24:E24"/>
    <mergeCell ref="D25:E25"/>
    <mergeCell ref="F24:G24"/>
    <mergeCell ref="C17:G17"/>
    <mergeCell ref="D28:E28"/>
    <mergeCell ref="F28:G28"/>
    <mergeCell ref="C8:E8"/>
    <mergeCell ref="D10:F10"/>
    <mergeCell ref="D11:F11"/>
  </mergeCells>
  <conditionalFormatting sqref="K33:M36">
    <cfRule type="expression" dxfId="6" priority="3">
      <formula>$K$33=0</formula>
    </cfRule>
  </conditionalFormatting>
  <conditionalFormatting sqref="K46:M51">
    <cfRule type="expression" dxfId="5" priority="2">
      <formula>$I$7=0</formula>
    </cfRule>
  </conditionalFormatting>
  <printOptions horizontalCentered="1" verticalCentered="1"/>
  <pageMargins left="7.874015748031496E-2" right="7.874015748031496E-2" top="0.15748031496062992" bottom="0.15748031496062992" header="7.874015748031496E-2" footer="7.874015748031496E-2"/>
  <pageSetup paperSize="9" scale="88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3" id="{0FA17214-534F-4635-BB8A-2315EF652883}">
            <xm:f>DATA!$G$38=0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K2:M11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30A0"/>
    <pageSetUpPr fitToPage="1"/>
  </sheetPr>
  <dimension ref="B1:L72"/>
  <sheetViews>
    <sheetView showGridLines="0" showRowColHeaders="0" showZeros="0" zoomScaleNormal="100" zoomScaleSheetLayoutView="100" workbookViewId="0">
      <pane xSplit="1" ySplit="11" topLeftCell="B33" activePane="bottomRight" state="frozen"/>
      <selection activeCell="C26" sqref="C26:AA26"/>
      <selection pane="topRight" activeCell="C26" sqref="C26:AA26"/>
      <selection pane="bottomLeft" activeCell="C26" sqref="C26:AA26"/>
      <selection pane="bottomRight" activeCell="B72" sqref="B72:J72"/>
    </sheetView>
  </sheetViews>
  <sheetFormatPr defaultColWidth="9.140625" defaultRowHeight="15"/>
  <cols>
    <col min="1" max="1" width="0.85546875" style="171" customWidth="1" collapsed="1"/>
    <col min="2" max="2" width="3.7109375" style="170" customWidth="1" collapsed="1"/>
    <col min="3" max="4" width="7.28515625" style="171" customWidth="1" collapsed="1"/>
    <col min="5" max="5" width="20.7109375" style="171" customWidth="1" collapsed="1"/>
    <col min="6" max="6" width="9.7109375" style="171" customWidth="1" collapsed="1"/>
    <col min="7" max="7" width="8.7109375" style="171" customWidth="1" collapsed="1"/>
    <col min="8" max="8" width="15" style="171" customWidth="1" collapsed="1"/>
    <col min="9" max="9" width="14.28515625" style="171" customWidth="1" collapsed="1"/>
    <col min="10" max="10" width="15" style="171" customWidth="1" collapsed="1"/>
    <col min="11" max="16384" width="9.140625" style="171" collapsed="1"/>
  </cols>
  <sheetData>
    <row r="1" spans="2:12" ht="4.5" customHeight="1" thickBot="1"/>
    <row r="2" spans="2:12" ht="20.100000000000001" customHeight="1" thickTop="1" thickBot="1">
      <c r="B2" s="327"/>
      <c r="C2" s="328"/>
      <c r="D2" s="328"/>
      <c r="E2" s="1200" t="s">
        <v>504</v>
      </c>
      <c r="F2" s="1200"/>
      <c r="G2" s="1200"/>
      <c r="H2" s="1200"/>
      <c r="I2" s="1201" t="s">
        <v>505</v>
      </c>
      <c r="J2" s="1202"/>
      <c r="K2" s="172"/>
      <c r="L2" s="172"/>
    </row>
    <row r="3" spans="2:12" ht="14.1" customHeight="1">
      <c r="B3" s="1203" t="str">
        <f>IF(DATA!O28="","","EMP.ID : "&amp;DATA!O28)</f>
        <v/>
      </c>
      <c r="C3" s="1204"/>
      <c r="D3" s="1204"/>
      <c r="E3" s="1205" t="s">
        <v>506</v>
      </c>
      <c r="F3" s="1205"/>
      <c r="G3" s="1205"/>
      <c r="H3" s="1205"/>
      <c r="I3" s="1209" t="str">
        <f>IF(DATA!O30="","","CFMS ID : "&amp;DATA!O30)</f>
        <v/>
      </c>
      <c r="J3" s="1210"/>
      <c r="K3" s="172"/>
      <c r="L3" s="172"/>
    </row>
    <row r="4" spans="2:12" ht="14.1" customHeight="1" thickBot="1">
      <c r="B4" s="1206" t="s">
        <v>507</v>
      </c>
      <c r="C4" s="1207"/>
      <c r="D4" s="1207"/>
      <c r="E4" s="1207"/>
      <c r="F4" s="1207"/>
      <c r="G4" s="1207"/>
      <c r="H4" s="1207"/>
      <c r="I4" s="1207"/>
      <c r="J4" s="1208"/>
    </row>
    <row r="5" spans="2:12" ht="14.1" customHeight="1">
      <c r="B5" s="1198" t="s">
        <v>508</v>
      </c>
      <c r="C5" s="1199"/>
      <c r="D5" s="1199"/>
      <c r="E5" s="1199"/>
      <c r="F5" s="173"/>
      <c r="G5" s="173"/>
      <c r="H5" s="174" t="s">
        <v>509</v>
      </c>
      <c r="I5" s="174"/>
      <c r="J5" s="175"/>
      <c r="K5" s="176"/>
      <c r="L5" s="177"/>
    </row>
    <row r="6" spans="2:12" ht="14.1" customHeight="1">
      <c r="B6" s="1174" t="str">
        <f>UPPER(DATA!O35)</f>
        <v>B.MASTAN NAIK</v>
      </c>
      <c r="C6" s="1175"/>
      <c r="D6" s="1175"/>
      <c r="E6" s="1175"/>
      <c r="F6" s="178"/>
      <c r="G6" s="178"/>
      <c r="H6" s="1196" t="str">
        <f>UPPER(DATA!O25)</f>
        <v/>
      </c>
      <c r="I6" s="1196"/>
      <c r="J6" s="1197"/>
      <c r="K6" s="176"/>
      <c r="L6" s="177"/>
    </row>
    <row r="7" spans="2:12" ht="14.1" customHeight="1">
      <c r="B7" s="1174" t="str">
        <f>UPPER(DATA!O36)</f>
        <v>MANDAL EDUCATIONAL OFFICER</v>
      </c>
      <c r="C7" s="1175"/>
      <c r="D7" s="1175"/>
      <c r="E7" s="1175"/>
      <c r="F7" s="178"/>
      <c r="G7" s="178"/>
      <c r="H7" s="1196" t="str">
        <f>UPPER(DATA!O27)</f>
        <v/>
      </c>
      <c r="I7" s="1196"/>
      <c r="J7" s="1197"/>
      <c r="K7" s="176"/>
      <c r="L7" s="177"/>
    </row>
    <row r="8" spans="2:12" ht="14.1" customHeight="1">
      <c r="B8" s="1174" t="str">
        <f>UPPER(DATA!O37)</f>
        <v>MANDAL PARISHAD</v>
      </c>
      <c r="C8" s="1175"/>
      <c r="D8" s="1175"/>
      <c r="E8" s="1175"/>
      <c r="F8" s="178"/>
      <c r="G8" s="178"/>
      <c r="H8" s="1196" t="str">
        <f>UPPER(DATA!O31)</f>
        <v>MEO</v>
      </c>
      <c r="I8" s="1196"/>
      <c r="J8" s="1197"/>
    </row>
    <row r="9" spans="2:12" ht="14.1" customHeight="1">
      <c r="B9" s="1174" t="str">
        <f>CONCATENATE(UPPER(DATA!O33),"    ",";","  ",UPPER(DATA!O34))</f>
        <v>DORNALA    ;  PRAKASAM</v>
      </c>
      <c r="C9" s="1175"/>
      <c r="D9" s="1175"/>
      <c r="E9" s="1175"/>
      <c r="F9" s="178"/>
      <c r="G9" s="178"/>
      <c r="H9" s="1176" t="str">
        <f>CONCATENATE(UPPER(DATA!O32),"    ",";","   ",UPPER(DATA!O33))</f>
        <v>DORNALA    ;   DORNALA</v>
      </c>
      <c r="I9" s="1176"/>
      <c r="J9" s="1177"/>
    </row>
    <row r="10" spans="2:12" ht="14.1" customHeight="1">
      <c r="B10" s="1189" t="s">
        <v>283</v>
      </c>
      <c r="C10" s="1190"/>
      <c r="D10" s="1190"/>
      <c r="E10" s="1194" t="s">
        <v>284</v>
      </c>
      <c r="F10" s="1195"/>
      <c r="G10" s="1190" t="s">
        <v>646</v>
      </c>
      <c r="H10" s="1190"/>
      <c r="I10" s="1190" t="s">
        <v>654</v>
      </c>
      <c r="J10" s="1193"/>
    </row>
    <row r="11" spans="2:12" ht="14.1" customHeight="1">
      <c r="B11" s="1187" t="str">
        <f>UPPER(DATA!O38)</f>
        <v/>
      </c>
      <c r="C11" s="1188"/>
      <c r="D11" s="1188"/>
      <c r="E11" s="1136" t="str">
        <f>UPPER(DATA!O41)</f>
        <v/>
      </c>
      <c r="F11" s="1137"/>
      <c r="G11" s="1188" t="str">
        <f>UPPER(DATA!O29)</f>
        <v/>
      </c>
      <c r="H11" s="1188"/>
      <c r="I11" s="1191">
        <f>DATA!O30</f>
        <v>0</v>
      </c>
      <c r="J11" s="1192"/>
    </row>
    <row r="12" spans="2:12" ht="12.6" customHeight="1">
      <c r="B12" s="1178" t="s">
        <v>510</v>
      </c>
      <c r="C12" s="1179"/>
      <c r="D12" s="1179"/>
      <c r="E12" s="1179"/>
      <c r="F12" s="1179"/>
      <c r="G12" s="1179"/>
      <c r="H12" s="1179"/>
      <c r="I12" s="1179"/>
      <c r="J12" s="1180"/>
    </row>
    <row r="13" spans="2:12" ht="14.45" customHeight="1">
      <c r="B13" s="1162" t="s">
        <v>511</v>
      </c>
      <c r="C13" s="1163"/>
      <c r="D13" s="1163"/>
      <c r="E13" s="179" t="s">
        <v>512</v>
      </c>
      <c r="F13" s="1181" t="s">
        <v>513</v>
      </c>
      <c r="G13" s="1182"/>
      <c r="H13" s="1163" t="s">
        <v>514</v>
      </c>
      <c r="I13" s="1163"/>
      <c r="J13" s="1183" t="s">
        <v>515</v>
      </c>
    </row>
    <row r="14" spans="2:12" ht="12" customHeight="1">
      <c r="B14" s="1185" t="s">
        <v>516</v>
      </c>
      <c r="C14" s="1186"/>
      <c r="D14" s="1186"/>
      <c r="E14" s="180"/>
      <c r="F14" s="1164"/>
      <c r="G14" s="1165"/>
      <c r="H14" s="181" t="s">
        <v>517</v>
      </c>
      <c r="I14" s="181" t="s">
        <v>518</v>
      </c>
      <c r="J14" s="1184"/>
    </row>
    <row r="15" spans="2:12" ht="12" customHeight="1">
      <c r="B15" s="1162" t="s">
        <v>519</v>
      </c>
      <c r="C15" s="1163"/>
      <c r="D15" s="1163"/>
      <c r="E15" s="180"/>
      <c r="F15" s="1164"/>
      <c r="G15" s="1165"/>
      <c r="H15" s="1166">
        <f>'ANNEXURE I'!B5</f>
        <v>43160</v>
      </c>
      <c r="I15" s="1166">
        <f>'ANNEXURE I'!B16</f>
        <v>43497</v>
      </c>
      <c r="J15" s="1168" t="str">
        <f>'ANNEXURE II'!H3</f>
        <v>2019-2020</v>
      </c>
    </row>
    <row r="16" spans="2:12" ht="12" customHeight="1">
      <c r="B16" s="1162" t="s">
        <v>520</v>
      </c>
      <c r="C16" s="1163"/>
      <c r="D16" s="1163"/>
      <c r="E16" s="180"/>
      <c r="F16" s="1164"/>
      <c r="G16" s="1165"/>
      <c r="H16" s="1167"/>
      <c r="I16" s="1167"/>
      <c r="J16" s="1169"/>
    </row>
    <row r="17" spans="2:10" ht="12" customHeight="1" thickBot="1">
      <c r="B17" s="1170" t="s">
        <v>521</v>
      </c>
      <c r="C17" s="1171"/>
      <c r="D17" s="1171"/>
      <c r="E17" s="182"/>
      <c r="F17" s="1172"/>
      <c r="G17" s="1173"/>
      <c r="H17" s="1167"/>
      <c r="I17" s="1167"/>
      <c r="J17" s="1169"/>
    </row>
    <row r="18" spans="2:10" ht="14.1" customHeight="1" thickBot="1">
      <c r="B18" s="1156" t="s">
        <v>522</v>
      </c>
      <c r="C18" s="1157"/>
      <c r="D18" s="1157"/>
      <c r="E18" s="1157"/>
      <c r="F18" s="1157"/>
      <c r="G18" s="1157"/>
      <c r="H18" s="1157"/>
      <c r="I18" s="1157"/>
      <c r="J18" s="1158"/>
    </row>
    <row r="19" spans="2:10" ht="14.1" customHeight="1">
      <c r="B19" s="183">
        <v>1</v>
      </c>
      <c r="C19" s="1159" t="s">
        <v>523</v>
      </c>
      <c r="D19" s="1159"/>
      <c r="E19" s="1159"/>
      <c r="F19" s="184"/>
      <c r="G19" s="184"/>
      <c r="H19" s="185">
        <f>'ANNEXURE II'!I7</f>
        <v>747079</v>
      </c>
      <c r="I19" s="186"/>
      <c r="J19" s="187">
        <f>H19</f>
        <v>747079</v>
      </c>
    </row>
    <row r="20" spans="2:10" ht="14.1" customHeight="1">
      <c r="B20" s="188"/>
      <c r="C20" s="189" t="s">
        <v>303</v>
      </c>
      <c r="D20" s="1160" t="s">
        <v>524</v>
      </c>
      <c r="E20" s="1160"/>
      <c r="F20" s="1160"/>
      <c r="G20" s="1160"/>
      <c r="H20" s="190"/>
      <c r="I20" s="191"/>
      <c r="J20" s="192">
        <f>H20</f>
        <v>0</v>
      </c>
    </row>
    <row r="21" spans="2:10" ht="14.1" customHeight="1">
      <c r="B21" s="188"/>
      <c r="C21" s="189" t="s">
        <v>300</v>
      </c>
      <c r="D21" s="1160" t="s">
        <v>525</v>
      </c>
      <c r="E21" s="1160"/>
      <c r="F21" s="1160"/>
      <c r="G21" s="1160"/>
      <c r="H21" s="190"/>
      <c r="I21" s="191"/>
      <c r="J21" s="192">
        <f t="shared" ref="J21:J23" si="0">H21</f>
        <v>0</v>
      </c>
    </row>
    <row r="22" spans="2:10" ht="14.1" customHeight="1">
      <c r="B22" s="188"/>
      <c r="C22" s="189"/>
      <c r="D22" s="1160" t="s">
        <v>526</v>
      </c>
      <c r="E22" s="1160"/>
      <c r="F22" s="1160"/>
      <c r="G22" s="1160"/>
      <c r="H22" s="190"/>
      <c r="I22" s="191"/>
      <c r="J22" s="192"/>
    </row>
    <row r="23" spans="2:10" ht="14.1" customHeight="1">
      <c r="B23" s="188"/>
      <c r="C23" s="189" t="s">
        <v>297</v>
      </c>
      <c r="D23" s="1160" t="s">
        <v>527</v>
      </c>
      <c r="E23" s="1160"/>
      <c r="F23" s="1160"/>
      <c r="G23" s="1160"/>
      <c r="H23" s="190"/>
      <c r="I23" s="191"/>
      <c r="J23" s="192">
        <f t="shared" si="0"/>
        <v>0</v>
      </c>
    </row>
    <row r="24" spans="2:10" ht="14.1" customHeight="1">
      <c r="B24" s="188"/>
      <c r="C24" s="189"/>
      <c r="D24" s="1160" t="s">
        <v>528</v>
      </c>
      <c r="E24" s="1160"/>
      <c r="F24" s="1160"/>
      <c r="G24" s="1160"/>
      <c r="H24" s="190"/>
      <c r="I24" s="191"/>
      <c r="J24" s="192"/>
    </row>
    <row r="25" spans="2:10" ht="14.1" customHeight="1">
      <c r="B25" s="188"/>
      <c r="C25" s="189" t="s">
        <v>294</v>
      </c>
      <c r="D25" s="1155" t="s">
        <v>529</v>
      </c>
      <c r="E25" s="1155"/>
      <c r="F25" s="193"/>
      <c r="G25" s="193"/>
      <c r="H25" s="190">
        <f>SUM(H19:H24)</f>
        <v>747079</v>
      </c>
      <c r="I25" s="191"/>
      <c r="J25" s="192">
        <f>H25</f>
        <v>747079</v>
      </c>
    </row>
    <row r="26" spans="2:10" ht="14.1" customHeight="1">
      <c r="B26" s="188">
        <v>2</v>
      </c>
      <c r="C26" s="1154" t="s">
        <v>530</v>
      </c>
      <c r="D26" s="1154"/>
      <c r="E26" s="1154"/>
      <c r="F26" s="1154"/>
      <c r="G26" s="1154"/>
      <c r="H26" s="190"/>
      <c r="I26" s="191"/>
      <c r="J26" s="192"/>
    </row>
    <row r="27" spans="2:10" ht="14.1" customHeight="1">
      <c r="B27" s="188"/>
      <c r="C27" s="189" t="s">
        <v>303</v>
      </c>
      <c r="D27" s="1155" t="s">
        <v>531</v>
      </c>
      <c r="E27" s="1155"/>
      <c r="F27" s="1155"/>
      <c r="G27" s="193"/>
      <c r="H27" s="190">
        <f>'ANNEXURE II'!I11</f>
        <v>37869</v>
      </c>
      <c r="I27" s="191"/>
      <c r="J27" s="192"/>
    </row>
    <row r="28" spans="2:10" ht="14.1" customHeight="1">
      <c r="B28" s="188"/>
      <c r="C28" s="189" t="s">
        <v>300</v>
      </c>
      <c r="D28" s="1155" t="s">
        <v>532</v>
      </c>
      <c r="E28" s="1155"/>
      <c r="F28" s="1155"/>
      <c r="G28" s="193"/>
      <c r="H28" s="190">
        <f>'ANNEXURE II'!H14</f>
        <v>0</v>
      </c>
      <c r="I28" s="191"/>
      <c r="J28" s="192">
        <f>SUM(H27,H28)</f>
        <v>37869</v>
      </c>
    </row>
    <row r="29" spans="2:10" ht="14.1" customHeight="1">
      <c r="B29" s="188"/>
      <c r="C29" s="1161" t="s">
        <v>584</v>
      </c>
      <c r="D29" s="1161"/>
      <c r="E29" s="1161"/>
      <c r="F29" s="1161"/>
      <c r="G29" s="1161"/>
      <c r="H29" s="190">
        <f>'ANNEXURE II'!H17</f>
        <v>40000</v>
      </c>
      <c r="I29" s="191"/>
      <c r="J29" s="192">
        <f>H29</f>
        <v>40000</v>
      </c>
    </row>
    <row r="30" spans="2:10" ht="14.1" customHeight="1">
      <c r="B30" s="188">
        <v>3</v>
      </c>
      <c r="C30" s="1153" t="s">
        <v>533</v>
      </c>
      <c r="D30" s="1153"/>
      <c r="E30" s="1153"/>
      <c r="F30" s="194" t="s">
        <v>322</v>
      </c>
      <c r="G30" s="193"/>
      <c r="H30" s="190"/>
      <c r="I30" s="191"/>
      <c r="J30" s="192">
        <f>J25-(H27+H28+J29)</f>
        <v>669210</v>
      </c>
    </row>
    <row r="31" spans="2:10" ht="14.1" customHeight="1">
      <c r="B31" s="188">
        <v>4</v>
      </c>
      <c r="C31" s="1154" t="s">
        <v>534</v>
      </c>
      <c r="D31" s="1154"/>
      <c r="E31" s="1154"/>
      <c r="F31" s="1154"/>
      <c r="G31" s="1154"/>
      <c r="H31" s="190"/>
      <c r="I31" s="191"/>
      <c r="J31" s="192"/>
    </row>
    <row r="32" spans="2:10" ht="14.1" customHeight="1">
      <c r="B32" s="188"/>
      <c r="C32" s="189" t="s">
        <v>303</v>
      </c>
      <c r="D32" s="1155" t="s">
        <v>535</v>
      </c>
      <c r="E32" s="1155"/>
      <c r="F32" s="193"/>
      <c r="G32" s="193"/>
      <c r="H32" s="190"/>
      <c r="I32" s="191"/>
      <c r="J32" s="192"/>
    </row>
    <row r="33" spans="2:10" ht="14.1" customHeight="1">
      <c r="B33" s="188"/>
      <c r="C33" s="189" t="s">
        <v>300</v>
      </c>
      <c r="D33" s="1155" t="s">
        <v>536</v>
      </c>
      <c r="E33" s="1155"/>
      <c r="F33" s="193"/>
      <c r="G33" s="193"/>
      <c r="H33" s="190">
        <f>'ANNEXURE II'!H15</f>
        <v>2400</v>
      </c>
      <c r="I33" s="191"/>
      <c r="J33" s="192"/>
    </row>
    <row r="34" spans="2:10" ht="14.1" customHeight="1">
      <c r="B34" s="188">
        <v>5</v>
      </c>
      <c r="C34" s="1153" t="s">
        <v>537</v>
      </c>
      <c r="D34" s="1153"/>
      <c r="E34" s="1153"/>
      <c r="F34" s="194" t="s">
        <v>538</v>
      </c>
      <c r="G34" s="193"/>
      <c r="H34" s="191"/>
      <c r="I34" s="191"/>
      <c r="J34" s="192">
        <f>H32+H33</f>
        <v>2400</v>
      </c>
    </row>
    <row r="35" spans="2:10" ht="14.1" customHeight="1">
      <c r="B35" s="188">
        <v>6</v>
      </c>
      <c r="C35" s="1153" t="s">
        <v>539</v>
      </c>
      <c r="D35" s="1153"/>
      <c r="E35" s="1153"/>
      <c r="F35" s="194" t="s">
        <v>540</v>
      </c>
      <c r="G35" s="193"/>
      <c r="H35" s="195"/>
      <c r="I35" s="196" t="s">
        <v>315</v>
      </c>
      <c r="J35" s="192">
        <f>J30-J34</f>
        <v>666810</v>
      </c>
    </row>
    <row r="36" spans="2:10" ht="14.1" customHeight="1">
      <c r="B36" s="188">
        <v>7</v>
      </c>
      <c r="C36" s="1153" t="s">
        <v>541</v>
      </c>
      <c r="D36" s="1153"/>
      <c r="E36" s="1153"/>
      <c r="F36" s="1153"/>
      <c r="G36" s="1153"/>
      <c r="H36" s="195"/>
      <c r="I36" s="196" t="s">
        <v>315</v>
      </c>
      <c r="J36" s="192"/>
    </row>
    <row r="37" spans="2:10" ht="14.1" customHeight="1">
      <c r="B37" s="188"/>
      <c r="C37" s="189" t="s">
        <v>303</v>
      </c>
      <c r="D37" s="1155" t="str">
        <f>'ANNEXURE II'!C19</f>
        <v>Income From other sources</v>
      </c>
      <c r="E37" s="1155"/>
      <c r="F37" s="197" t="s">
        <v>315</v>
      </c>
      <c r="G37" s="197"/>
      <c r="H37" s="195"/>
      <c r="I37" s="196" t="s">
        <v>315</v>
      </c>
      <c r="J37" s="192">
        <f>'ANNEXURE II'!H19</f>
        <v>15957</v>
      </c>
    </row>
    <row r="38" spans="2:10" ht="14.1" customHeight="1">
      <c r="B38" s="188"/>
      <c r="C38" s="189" t="s">
        <v>300</v>
      </c>
      <c r="D38" s="1155" t="str">
        <f>'ANNEXURE II'!C20</f>
        <v>Income From Capital Gains</v>
      </c>
      <c r="E38" s="1155"/>
      <c r="F38" s="198"/>
      <c r="G38" s="198"/>
      <c r="H38" s="195"/>
      <c r="I38" s="196"/>
      <c r="J38" s="192">
        <f>'ANNEXURE II'!H20</f>
        <v>0</v>
      </c>
    </row>
    <row r="39" spans="2:10" ht="14.1" customHeight="1">
      <c r="B39" s="188"/>
      <c r="C39" s="189" t="s">
        <v>300</v>
      </c>
      <c r="D39" s="1155" t="str">
        <f>'ANNEXURE II'!C21</f>
        <v>Income/Loss From House Property U/s 24 (vi)</v>
      </c>
      <c r="E39" s="1155"/>
      <c r="F39" s="1155"/>
      <c r="G39" s="197"/>
      <c r="H39" s="195"/>
      <c r="I39" s="196" t="s">
        <v>315</v>
      </c>
      <c r="J39" s="192">
        <f>'ANNEXURE II'!H21</f>
        <v>0</v>
      </c>
    </row>
    <row r="40" spans="2:10" ht="14.1" customHeight="1">
      <c r="B40" s="188">
        <v>8</v>
      </c>
      <c r="C40" s="1153" t="s">
        <v>314</v>
      </c>
      <c r="D40" s="1153"/>
      <c r="E40" s="1153"/>
      <c r="F40" s="199" t="s">
        <v>542</v>
      </c>
      <c r="G40" s="200"/>
      <c r="H40" s="195"/>
      <c r="I40" s="196" t="s">
        <v>315</v>
      </c>
      <c r="J40" s="192">
        <f>J35+SUM(J37:J39)</f>
        <v>682767</v>
      </c>
    </row>
    <row r="41" spans="2:10" ht="14.1" customHeight="1">
      <c r="B41" s="188">
        <v>9</v>
      </c>
      <c r="C41" s="1153" t="s">
        <v>543</v>
      </c>
      <c r="D41" s="1153"/>
      <c r="E41" s="1153"/>
      <c r="F41" s="193"/>
      <c r="G41" s="193"/>
      <c r="H41" s="191"/>
      <c r="I41" s="191"/>
      <c r="J41" s="201"/>
    </row>
    <row r="42" spans="2:10" ht="14.1" customHeight="1">
      <c r="B42" s="188" t="s">
        <v>544</v>
      </c>
      <c r="C42" s="1153" t="s">
        <v>545</v>
      </c>
      <c r="D42" s="1153"/>
      <c r="E42" s="1153"/>
      <c r="F42" s="1153"/>
      <c r="G42" s="202"/>
      <c r="H42" s="203" t="s">
        <v>546</v>
      </c>
      <c r="I42" s="203" t="s">
        <v>547</v>
      </c>
      <c r="J42" s="201"/>
    </row>
    <row r="43" spans="2:10" ht="14.1" customHeight="1">
      <c r="B43" s="188"/>
      <c r="C43" s="204" t="s">
        <v>303</v>
      </c>
      <c r="D43" s="205" t="s">
        <v>548</v>
      </c>
      <c r="E43" s="1139" t="str">
        <f>'ANNEXURE II'!D34</f>
        <v xml:space="preserve">GPF_CPS  :   A/c No. :  </v>
      </c>
      <c r="F43" s="1139"/>
      <c r="G43" s="206"/>
      <c r="H43" s="190">
        <f>'ANNEXURE II'!H34</f>
        <v>133075</v>
      </c>
      <c r="I43" s="190">
        <f t="shared" ref="I43:I52" si="1">H43</f>
        <v>133075</v>
      </c>
      <c r="J43" s="192"/>
    </row>
    <row r="44" spans="2:10" ht="14.1" customHeight="1">
      <c r="B44" s="188"/>
      <c r="C44" s="204" t="s">
        <v>300</v>
      </c>
      <c r="D44" s="205" t="s">
        <v>548</v>
      </c>
      <c r="E44" s="1139" t="str">
        <f>'ANNEXURE II'!D35</f>
        <v xml:space="preserve">A.P.G.L.I.  :   A/c No. :  </v>
      </c>
      <c r="F44" s="1139"/>
      <c r="G44" s="206"/>
      <c r="H44" s="190">
        <f>'ANNEXURE II'!H35</f>
        <v>16800</v>
      </c>
      <c r="I44" s="190">
        <f t="shared" si="1"/>
        <v>16800</v>
      </c>
      <c r="J44" s="192"/>
    </row>
    <row r="45" spans="2:10" ht="14.1" customHeight="1">
      <c r="B45" s="188"/>
      <c r="C45" s="204" t="s">
        <v>297</v>
      </c>
      <c r="D45" s="205" t="s">
        <v>548</v>
      </c>
      <c r="E45" s="1139" t="str">
        <f>'ANNEXURE II'!D36</f>
        <v>G.I.S.    ( Group Insurance Scheme )</v>
      </c>
      <c r="F45" s="1139"/>
      <c r="G45" s="206"/>
      <c r="H45" s="190">
        <f>'ANNEXURE II'!H36</f>
        <v>720</v>
      </c>
      <c r="I45" s="190">
        <f t="shared" si="1"/>
        <v>720</v>
      </c>
      <c r="J45" s="192"/>
    </row>
    <row r="46" spans="2:10" ht="14.1" customHeight="1">
      <c r="B46" s="188"/>
      <c r="C46" s="204" t="s">
        <v>294</v>
      </c>
      <c r="D46" s="206" t="s">
        <v>549</v>
      </c>
      <c r="E46" s="1139" t="str">
        <f>'ANNEXURE II'!D37</f>
        <v>L.I.C. PREMIUMS (From Salary Deduction )</v>
      </c>
      <c r="F46" s="1139"/>
      <c r="G46" s="208"/>
      <c r="H46" s="190">
        <f>'ANNEXURE II'!H37</f>
        <v>0</v>
      </c>
      <c r="I46" s="207">
        <f t="shared" si="1"/>
        <v>0</v>
      </c>
      <c r="J46" s="192"/>
    </row>
    <row r="47" spans="2:10" ht="14.1" customHeight="1">
      <c r="B47" s="188"/>
      <c r="C47" s="204" t="s">
        <v>313</v>
      </c>
      <c r="D47" s="205" t="s">
        <v>549</v>
      </c>
      <c r="E47" s="1139" t="str">
        <f>'ANNEXURE II'!D38</f>
        <v>POSTAL LIFE INSURANCE (PLI/RPLI)</v>
      </c>
      <c r="F47" s="1139"/>
      <c r="G47" s="206"/>
      <c r="H47" s="190">
        <f>'ANNEXURE II'!H38</f>
        <v>0</v>
      </c>
      <c r="I47" s="207">
        <f t="shared" si="1"/>
        <v>0</v>
      </c>
      <c r="J47" s="192"/>
    </row>
    <row r="48" spans="2:10" ht="14.1" customHeight="1">
      <c r="B48" s="188"/>
      <c r="C48" s="204" t="s">
        <v>312</v>
      </c>
      <c r="D48" s="11" t="s">
        <v>548</v>
      </c>
      <c r="E48" s="1139" t="str">
        <f>'ANNEXURE II'!D39</f>
        <v>SUKANYA SAMRIDHI YOJANA</v>
      </c>
      <c r="F48" s="1139"/>
      <c r="G48" s="206"/>
      <c r="H48" s="190">
        <f>'ANNEXURE II'!H39</f>
        <v>0</v>
      </c>
      <c r="I48" s="207">
        <f t="shared" si="1"/>
        <v>0</v>
      </c>
      <c r="J48" s="192"/>
    </row>
    <row r="49" spans="2:10" ht="14.1" customHeight="1">
      <c r="B49" s="188"/>
      <c r="C49" s="204" t="s">
        <v>311</v>
      </c>
      <c r="D49" s="205" t="s">
        <v>548</v>
      </c>
      <c r="E49" s="1139" t="str">
        <f>'ANNEXURE II'!D40</f>
        <v>S.B.I. LIFE INSURANCE</v>
      </c>
      <c r="F49" s="1139"/>
      <c r="G49" s="208"/>
      <c r="H49" s="190">
        <f>'ANNEXURE II'!H40</f>
        <v>25000</v>
      </c>
      <c r="I49" s="207">
        <f t="shared" si="1"/>
        <v>25000</v>
      </c>
      <c r="J49" s="192"/>
    </row>
    <row r="50" spans="2:10" ht="14.1" customHeight="1">
      <c r="B50" s="188"/>
      <c r="C50" s="204" t="s">
        <v>310</v>
      </c>
      <c r="D50" s="209" t="s">
        <v>550</v>
      </c>
      <c r="E50" s="1139" t="str">
        <f>'ANNEXURE II'!D41</f>
        <v>PUBLIC PROVIDENT FUND</v>
      </c>
      <c r="F50" s="1139"/>
      <c r="G50" s="206"/>
      <c r="H50" s="190">
        <f>'ANNEXURE II'!H41</f>
        <v>0</v>
      </c>
      <c r="I50" s="207">
        <f t="shared" si="1"/>
        <v>0</v>
      </c>
      <c r="J50" s="192"/>
    </row>
    <row r="51" spans="2:10" ht="14.1" customHeight="1">
      <c r="B51" s="188"/>
      <c r="C51" s="204" t="s">
        <v>309</v>
      </c>
      <c r="D51" s="205" t="s">
        <v>549</v>
      </c>
      <c r="E51" s="1139" t="str">
        <f>'ANNEXURE II'!D42</f>
        <v>TUTION FEE FOR CHILDREN</v>
      </c>
      <c r="F51" s="1139"/>
      <c r="G51" s="206"/>
      <c r="H51" s="190">
        <f>'ANNEXURE II'!H42</f>
        <v>0</v>
      </c>
      <c r="I51" s="190">
        <f t="shared" si="1"/>
        <v>0</v>
      </c>
      <c r="J51" s="192"/>
    </row>
    <row r="52" spans="2:10" ht="14.1" customHeight="1">
      <c r="B52" s="188"/>
      <c r="C52" s="204" t="s">
        <v>308</v>
      </c>
      <c r="D52" s="205" t="s">
        <v>548</v>
      </c>
      <c r="E52" s="1139" t="str">
        <f>'ANNEXURE II'!D43</f>
        <v>HOME LOAN PRINCIPLE AMOUNT</v>
      </c>
      <c r="F52" s="1139"/>
      <c r="G52" s="257"/>
      <c r="H52" s="190">
        <f>'ANNEXURE II'!H43</f>
        <v>0</v>
      </c>
      <c r="I52" s="190">
        <f t="shared" si="1"/>
        <v>0</v>
      </c>
      <c r="J52" s="192"/>
    </row>
    <row r="53" spans="2:10" ht="14.1" customHeight="1">
      <c r="B53" s="188"/>
      <c r="C53" s="204" t="s">
        <v>342</v>
      </c>
      <c r="D53" s="205" t="s">
        <v>548</v>
      </c>
      <c r="E53" s="1139" t="str">
        <f>'ANNEXURE II'!D44</f>
        <v>NATIONAL SAVINGS CERTIFICATE</v>
      </c>
      <c r="F53" s="1139"/>
      <c r="G53" s="256"/>
      <c r="H53" s="190">
        <f>'ANNEXURE II'!H44</f>
        <v>0</v>
      </c>
      <c r="I53" s="190">
        <f t="shared" ref="I53:I55" si="2">H53</f>
        <v>0</v>
      </c>
      <c r="J53" s="192"/>
    </row>
    <row r="54" spans="2:10" ht="14.1" customHeight="1">
      <c r="B54" s="188"/>
      <c r="C54" s="204" t="s">
        <v>343</v>
      </c>
      <c r="D54" s="205" t="s">
        <v>548</v>
      </c>
      <c r="E54" s="1139" t="str">
        <f>'ANNEXURE II'!D45</f>
        <v>5 Yrs Fixed Deposits ( Bank / Postal )</v>
      </c>
      <c r="F54" s="1139"/>
      <c r="G54" s="256"/>
      <c r="H54" s="190">
        <f>'ANNEXURE II'!H45</f>
        <v>0</v>
      </c>
      <c r="I54" s="190">
        <f t="shared" si="2"/>
        <v>0</v>
      </c>
      <c r="J54" s="192"/>
    </row>
    <row r="55" spans="2:10" ht="14.1" customHeight="1">
      <c r="B55" s="188"/>
      <c r="C55" s="204" t="s">
        <v>344</v>
      </c>
      <c r="D55" s="205" t="s">
        <v>548</v>
      </c>
      <c r="E55" s="1139" t="str">
        <f>'ANNEXURE II'!D46</f>
        <v>OTHER MUTUAL FUNDS……………….</v>
      </c>
      <c r="F55" s="1139"/>
      <c r="G55" s="256"/>
      <c r="H55" s="190">
        <f>'ANNEXURE II'!H46</f>
        <v>0</v>
      </c>
      <c r="I55" s="190">
        <f t="shared" si="2"/>
        <v>0</v>
      </c>
      <c r="J55" s="192"/>
    </row>
    <row r="56" spans="2:10" ht="14.1" customHeight="1">
      <c r="B56" s="188"/>
      <c r="C56" s="204"/>
      <c r="D56" s="205"/>
      <c r="E56" s="1141" t="s">
        <v>551</v>
      </c>
      <c r="F56" s="1141"/>
      <c r="G56" s="210"/>
      <c r="H56" s="190">
        <f>SUM(H43:H55)</f>
        <v>175595</v>
      </c>
      <c r="I56" s="190">
        <f>H56</f>
        <v>175595</v>
      </c>
      <c r="J56" s="192">
        <f>IF(I56&lt;=150000,I56,150000)</f>
        <v>150000</v>
      </c>
    </row>
    <row r="57" spans="2:10" ht="14.1" customHeight="1">
      <c r="B57" s="188"/>
      <c r="C57" s="1151" t="s">
        <v>552</v>
      </c>
      <c r="D57" s="1152"/>
      <c r="E57" s="1141" t="str">
        <f>'ANNEXURE II'!C48</f>
        <v>National Pension Scheme          U/s 80CCD (1)(B)</v>
      </c>
      <c r="F57" s="1141"/>
      <c r="G57" s="1150"/>
      <c r="H57" s="190">
        <f>'ANNEXURE II'!H48</f>
        <v>0</v>
      </c>
      <c r="I57" s="190">
        <f>H57</f>
        <v>0</v>
      </c>
      <c r="J57" s="192">
        <f>IF(I57&lt;=50000,I57,50000)</f>
        <v>0</v>
      </c>
    </row>
    <row r="58" spans="2:10" ht="14.1" customHeight="1">
      <c r="B58" s="188"/>
      <c r="C58" s="211"/>
      <c r="D58" s="1141"/>
      <c r="E58" s="1141"/>
      <c r="F58" s="1141"/>
      <c r="G58" s="1141"/>
      <c r="H58" s="258"/>
      <c r="I58" s="258"/>
      <c r="J58" s="192">
        <f>SUM(J56,J57)</f>
        <v>150000</v>
      </c>
    </row>
    <row r="59" spans="2:10" ht="14.1" customHeight="1">
      <c r="B59" s="188"/>
      <c r="C59" s="1151" t="s">
        <v>585</v>
      </c>
      <c r="D59" s="1152"/>
      <c r="E59" s="1141" t="str">
        <f>'ANNEXURE II'!D49</f>
        <v>Rajiv Gandhi Equity Savings Scheme</v>
      </c>
      <c r="F59" s="1141"/>
      <c r="G59" s="210"/>
      <c r="H59" s="190">
        <f>'ANNEXURE II'!I49</f>
        <v>0</v>
      </c>
      <c r="I59" s="190">
        <f>H59</f>
        <v>0</v>
      </c>
      <c r="J59" s="192"/>
    </row>
    <row r="60" spans="2:10" ht="14.1" customHeight="1">
      <c r="B60" s="188"/>
      <c r="C60" s="1151" t="s">
        <v>552</v>
      </c>
      <c r="D60" s="1152"/>
      <c r="E60" s="1141" t="str">
        <f>'ANNEXURE II'!D50</f>
        <v>New Pension Scheme ( BY HAND )</v>
      </c>
      <c r="F60" s="1141"/>
      <c r="G60" s="210"/>
      <c r="H60" s="190">
        <f>'ANNEXURE II'!I50</f>
        <v>0</v>
      </c>
      <c r="I60" s="190">
        <f>H60</f>
        <v>0</v>
      </c>
      <c r="J60" s="192">
        <f>I59+I60</f>
        <v>0</v>
      </c>
    </row>
    <row r="61" spans="2:10" ht="14.1" customHeight="1">
      <c r="B61" s="188" t="s">
        <v>553</v>
      </c>
      <c r="C61" s="1149" t="s">
        <v>554</v>
      </c>
      <c r="D61" s="1149"/>
      <c r="E61" s="1149"/>
      <c r="F61" s="212"/>
      <c r="G61" s="211"/>
      <c r="H61" s="213"/>
      <c r="I61" s="213"/>
      <c r="J61" s="201"/>
    </row>
    <row r="62" spans="2:10" ht="14.1" customHeight="1">
      <c r="B62" s="188"/>
      <c r="C62" s="204" t="s">
        <v>303</v>
      </c>
      <c r="D62" s="212" t="s">
        <v>555</v>
      </c>
      <c r="E62" s="1140" t="str">
        <f>'ANNEXURE II'!D24</f>
        <v>E.W.F &amp; S.W.F &amp; CMRF          U/s 80(G)</v>
      </c>
      <c r="F62" s="1140"/>
      <c r="G62" s="214"/>
      <c r="H62" s="190">
        <f>'ANNEXURE II'!H24</f>
        <v>870</v>
      </c>
      <c r="I62" s="190">
        <f>H62</f>
        <v>870</v>
      </c>
      <c r="J62" s="192"/>
    </row>
    <row r="63" spans="2:10" ht="14.1" customHeight="1">
      <c r="B63" s="188"/>
      <c r="C63" s="204" t="s">
        <v>300</v>
      </c>
      <c r="D63" s="212" t="s">
        <v>556</v>
      </c>
      <c r="E63" s="1140" t="str">
        <f>'ANNEXURE II'!D25</f>
        <v>Interest of Educational Loan U/s 80(E)</v>
      </c>
      <c r="F63" s="1140"/>
      <c r="G63" s="214"/>
      <c r="H63" s="190">
        <f>'ANNEXURE II'!H25</f>
        <v>19045</v>
      </c>
      <c r="I63" s="207">
        <f>H63</f>
        <v>19045</v>
      </c>
      <c r="J63" s="192"/>
    </row>
    <row r="64" spans="2:10" ht="14.1" customHeight="1">
      <c r="B64" s="188"/>
      <c r="C64" s="204" t="s">
        <v>297</v>
      </c>
      <c r="D64" s="212" t="s">
        <v>557</v>
      </c>
      <c r="E64" s="1140" t="str">
        <f>'ANNEXURE II'!D26</f>
        <v>Interest of Housing        Loan U/s 24(B)</v>
      </c>
      <c r="F64" s="1140"/>
      <c r="G64" s="214"/>
      <c r="H64" s="190">
        <f>'ANNEXURE II'!H26</f>
        <v>0</v>
      </c>
      <c r="I64" s="207">
        <f>H64</f>
        <v>0</v>
      </c>
      <c r="J64" s="192"/>
    </row>
    <row r="65" spans="2:10" ht="14.1" customHeight="1">
      <c r="B65" s="188"/>
      <c r="C65" s="204" t="s">
        <v>294</v>
      </c>
      <c r="D65" s="212" t="s">
        <v>558</v>
      </c>
      <c r="E65" s="1140" t="str">
        <f>'ANNEXURE II'!D27</f>
        <v>Deductions For Disabled       U/s 80(U)</v>
      </c>
      <c r="F65" s="1140"/>
      <c r="G65" s="214"/>
      <c r="H65" s="190">
        <f>'ANNEXURE II'!H27</f>
        <v>0</v>
      </c>
      <c r="I65" s="207">
        <f>H65</f>
        <v>0</v>
      </c>
      <c r="J65" s="192"/>
    </row>
    <row r="66" spans="2:10" ht="14.1" customHeight="1">
      <c r="B66" s="188"/>
      <c r="C66" s="204" t="s">
        <v>313</v>
      </c>
      <c r="D66" s="212" t="str">
        <f>IF(E66="Donations of charitable Trust u/s 80G","80G","80D")</f>
        <v>80D</v>
      </c>
      <c r="E66" s="1140" t="str">
        <f>'ANNEXURE II'!D28</f>
        <v>Medical Insurance Premiums     80(D)</v>
      </c>
      <c r="F66" s="1140"/>
      <c r="G66" s="214"/>
      <c r="H66" s="190">
        <f>'ANNEXURE II'!H28</f>
        <v>0</v>
      </c>
      <c r="I66" s="207">
        <f t="shared" ref="I66:I68" si="3">H66</f>
        <v>0</v>
      </c>
      <c r="J66" s="192"/>
    </row>
    <row r="67" spans="2:10" ht="14.1" customHeight="1">
      <c r="B67" s="188"/>
      <c r="C67" s="204" t="s">
        <v>312</v>
      </c>
      <c r="D67" s="212" t="s">
        <v>559</v>
      </c>
      <c r="E67" s="1140" t="str">
        <f>'ANNEXURE II'!D29</f>
        <v>Donations of Charitable Trust     80(G)</v>
      </c>
      <c r="F67" s="1140"/>
      <c r="G67" s="214"/>
      <c r="H67" s="190">
        <f>'ANNEXURE II'!H29</f>
        <v>0</v>
      </c>
      <c r="I67" s="207">
        <f t="shared" si="3"/>
        <v>0</v>
      </c>
      <c r="J67" s="215"/>
    </row>
    <row r="68" spans="2:10" ht="14.1" customHeight="1">
      <c r="B68" s="188"/>
      <c r="C68" s="204" t="s">
        <v>311</v>
      </c>
      <c r="D68" s="212" t="s">
        <v>559</v>
      </c>
      <c r="E68" s="1140" t="str">
        <f>'ANNEXURE II'!D30</f>
        <v>Employee Health Scheme(EHS) 80(D)</v>
      </c>
      <c r="F68" s="1140"/>
      <c r="G68" s="214"/>
      <c r="H68" s="190">
        <f>'ANNEXURE II'!H30</f>
        <v>1080</v>
      </c>
      <c r="I68" s="207">
        <f t="shared" si="3"/>
        <v>1080</v>
      </c>
      <c r="J68" s="215"/>
    </row>
    <row r="69" spans="2:10" ht="14.1" customHeight="1">
      <c r="B69" s="188"/>
      <c r="C69" s="204"/>
      <c r="D69" s="204"/>
      <c r="E69" s="1142"/>
      <c r="F69" s="1142"/>
      <c r="G69" s="1142"/>
      <c r="H69" s="190">
        <f>SUM(H62:H68)</f>
        <v>20995</v>
      </c>
      <c r="I69" s="216">
        <f>H69</f>
        <v>20995</v>
      </c>
      <c r="J69" s="215">
        <f>I69</f>
        <v>20995</v>
      </c>
    </row>
    <row r="70" spans="2:10" ht="14.45" customHeight="1">
      <c r="B70" s="188"/>
      <c r="C70" s="1143" t="s">
        <v>560</v>
      </c>
      <c r="D70" s="1144"/>
      <c r="E70" s="1144"/>
      <c r="F70" s="1144"/>
      <c r="G70" s="1144"/>
      <c r="H70" s="217"/>
      <c r="I70" s="218"/>
      <c r="J70" s="219">
        <f>J58+J60+J69</f>
        <v>170995</v>
      </c>
    </row>
    <row r="71" spans="2:10" ht="15" customHeight="1" thickBot="1">
      <c r="B71" s="220"/>
      <c r="C71" s="1145" t="s">
        <v>561</v>
      </c>
      <c r="D71" s="1146"/>
      <c r="E71" s="1146"/>
      <c r="F71" s="1146"/>
      <c r="G71" s="1146"/>
      <c r="H71" s="1147" t="str">
        <f>CONCATENATE(ROUND(J40,0)," - ",ROUND(J70,0)," = ",ROUND((J40-J70),0))</f>
        <v>682767 - 170995 = 511772</v>
      </c>
      <c r="I71" s="1148"/>
      <c r="J71" s="221">
        <f>ROUND(J40-J70,-1)</f>
        <v>511770</v>
      </c>
    </row>
    <row r="72" spans="2:10" s="222" customFormat="1" ht="11.1" customHeight="1" thickTop="1">
      <c r="B72" s="1138" t="s">
        <v>268</v>
      </c>
      <c r="C72" s="1138"/>
      <c r="D72" s="1138"/>
      <c r="E72" s="1138"/>
      <c r="F72" s="1138"/>
      <c r="G72" s="1138"/>
      <c r="H72" s="1138"/>
      <c r="I72" s="1138"/>
      <c r="J72" s="1138"/>
    </row>
  </sheetData>
  <sheetProtection algorithmName="SHA-512" hashValue="JDkaQ/NVwHcjKhmPV4u8RvtG0cWjg4tHaXdTlOmMOtWYutRowOKccVTLmw+ldIcw47BvCBMPJ/kmnEgHTSbcnA==" saltValue="JMWg3zmmC9sb9/KDq7LxKw==" spinCount="100000" sheet="1" objects="1" scenarios="1" selectLockedCells="1" selectUnlockedCells="1"/>
  <protectedRanges>
    <protectedRange sqref="I43" name="Range5"/>
    <protectedRange sqref="F9:G9" name="Range2"/>
    <protectedRange sqref="E14:F17" name="Range1"/>
    <protectedRange sqref="H15:J17" name="Range3"/>
    <protectedRange sqref="H15:J17" name="Range4"/>
  </protectedRanges>
  <mergeCells count="98">
    <mergeCell ref="B5:E5"/>
    <mergeCell ref="E2:H2"/>
    <mergeCell ref="I2:J2"/>
    <mergeCell ref="B3:D3"/>
    <mergeCell ref="E3:H3"/>
    <mergeCell ref="B4:J4"/>
    <mergeCell ref="I3:J3"/>
    <mergeCell ref="B6:E6"/>
    <mergeCell ref="H6:J6"/>
    <mergeCell ref="B7:E7"/>
    <mergeCell ref="H7:J7"/>
    <mergeCell ref="B8:E8"/>
    <mergeCell ref="H8:J8"/>
    <mergeCell ref="B9:E9"/>
    <mergeCell ref="H9:J9"/>
    <mergeCell ref="B12:J12"/>
    <mergeCell ref="B13:D13"/>
    <mergeCell ref="F13:G13"/>
    <mergeCell ref="H13:I13"/>
    <mergeCell ref="J13:J14"/>
    <mergeCell ref="B14:D14"/>
    <mergeCell ref="F14:G14"/>
    <mergeCell ref="B11:D11"/>
    <mergeCell ref="B10:D10"/>
    <mergeCell ref="G11:H11"/>
    <mergeCell ref="I11:J11"/>
    <mergeCell ref="G10:H10"/>
    <mergeCell ref="I10:J10"/>
    <mergeCell ref="E10:F10"/>
    <mergeCell ref="B15:D15"/>
    <mergeCell ref="F15:G15"/>
    <mergeCell ref="H15:H17"/>
    <mergeCell ref="I15:I17"/>
    <mergeCell ref="J15:J17"/>
    <mergeCell ref="B16:D16"/>
    <mergeCell ref="F16:G16"/>
    <mergeCell ref="B17:D17"/>
    <mergeCell ref="F17:G17"/>
    <mergeCell ref="C30:E30"/>
    <mergeCell ref="B18:J18"/>
    <mergeCell ref="C19:E19"/>
    <mergeCell ref="D20:G20"/>
    <mergeCell ref="D21:G21"/>
    <mergeCell ref="D22:G22"/>
    <mergeCell ref="D23:G23"/>
    <mergeCell ref="D24:G24"/>
    <mergeCell ref="D25:E25"/>
    <mergeCell ref="C26:G26"/>
    <mergeCell ref="D27:F27"/>
    <mergeCell ref="D28:F28"/>
    <mergeCell ref="C29:G29"/>
    <mergeCell ref="C42:F42"/>
    <mergeCell ref="C31:G31"/>
    <mergeCell ref="D32:E32"/>
    <mergeCell ref="D33:E33"/>
    <mergeCell ref="C34:E34"/>
    <mergeCell ref="C35:E35"/>
    <mergeCell ref="C36:G36"/>
    <mergeCell ref="D37:E37"/>
    <mergeCell ref="D38:E38"/>
    <mergeCell ref="D39:F39"/>
    <mergeCell ref="C40:E40"/>
    <mergeCell ref="C41:E41"/>
    <mergeCell ref="C57:D57"/>
    <mergeCell ref="C59:D59"/>
    <mergeCell ref="E62:F62"/>
    <mergeCell ref="E63:F63"/>
    <mergeCell ref="E64:F64"/>
    <mergeCell ref="C60:D60"/>
    <mergeCell ref="E59:F59"/>
    <mergeCell ref="D58:G58"/>
    <mergeCell ref="E51:F51"/>
    <mergeCell ref="E56:F56"/>
    <mergeCell ref="E57:G57"/>
    <mergeCell ref="E53:F53"/>
    <mergeCell ref="E54:F54"/>
    <mergeCell ref="E55:F55"/>
    <mergeCell ref="E45:F45"/>
    <mergeCell ref="E47:F47"/>
    <mergeCell ref="E48:F48"/>
    <mergeCell ref="E49:F49"/>
    <mergeCell ref="E50:F50"/>
    <mergeCell ref="E11:F11"/>
    <mergeCell ref="B72:J72"/>
    <mergeCell ref="E46:F46"/>
    <mergeCell ref="E52:F52"/>
    <mergeCell ref="E68:F68"/>
    <mergeCell ref="E60:F60"/>
    <mergeCell ref="E66:F66"/>
    <mergeCell ref="E67:F67"/>
    <mergeCell ref="E69:G69"/>
    <mergeCell ref="C70:G70"/>
    <mergeCell ref="C71:G71"/>
    <mergeCell ref="H71:I71"/>
    <mergeCell ref="C61:E61"/>
    <mergeCell ref="E65:F65"/>
    <mergeCell ref="E43:F43"/>
    <mergeCell ref="E44:F44"/>
  </mergeCells>
  <printOptions horizontalCentered="1" verticalCentered="1"/>
  <pageMargins left="7.874015748031496E-2" right="7.874015748031496E-2" top="0.15748031496062992" bottom="0.15748031496062992" header="7.874015748031496E-2" footer="7.874015748031496E-2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1"/>
    <pageSetUpPr fitToPage="1"/>
  </sheetPr>
  <dimension ref="B1:K50"/>
  <sheetViews>
    <sheetView showGridLines="0" showRowColHeaders="0" zoomScaleNormal="100" zoomScalePageLayoutView="30" workbookViewId="0">
      <pane xSplit="2" ySplit="2" topLeftCell="C33" activePane="bottomRight" state="frozen"/>
      <selection activeCell="C26" sqref="C26:AA26"/>
      <selection pane="topRight" activeCell="C26" sqref="C26:AA26"/>
      <selection pane="bottomLeft" activeCell="C26" sqref="C26:AA26"/>
      <selection pane="bottomRight" activeCell="C18" sqref="C18"/>
    </sheetView>
  </sheetViews>
  <sheetFormatPr defaultColWidth="9.140625" defaultRowHeight="15"/>
  <cols>
    <col min="1" max="1" width="1" style="57" customWidth="1" collapsed="1"/>
    <col min="2" max="2" width="3.7109375" style="57" customWidth="1" collapsed="1"/>
    <col min="3" max="5" width="9.7109375" style="57" customWidth="1" collapsed="1"/>
    <col min="6" max="6" width="10.28515625" style="57" customWidth="1" collapsed="1"/>
    <col min="7" max="8" width="10.7109375" style="57" customWidth="1" collapsed="1"/>
    <col min="9" max="9" width="12.7109375" style="57" customWidth="1" collapsed="1"/>
    <col min="10" max="10" width="13.7109375" style="57" customWidth="1" collapsed="1"/>
    <col min="11" max="11" width="10.85546875" style="57" bestFit="1" customWidth="1" collapsed="1"/>
    <col min="12" max="16384" width="9.140625" style="57" collapsed="1"/>
  </cols>
  <sheetData>
    <row r="1" spans="2:11" ht="8.1" customHeight="1" thickBot="1"/>
    <row r="2" spans="2:11" ht="15.75" thickTop="1">
      <c r="B2" s="223">
        <v>10</v>
      </c>
      <c r="C2" s="565" t="s">
        <v>824</v>
      </c>
      <c r="D2" s="566"/>
      <c r="E2" s="566"/>
      <c r="F2" s="566"/>
      <c r="G2" s="571" t="s">
        <v>831</v>
      </c>
      <c r="H2" s="566"/>
      <c r="I2" s="224"/>
      <c r="J2" s="225">
        <f>FORM16_FRONT!J71</f>
        <v>511770</v>
      </c>
      <c r="K2" s="623"/>
    </row>
    <row r="3" spans="2:11">
      <c r="B3" s="226">
        <v>11</v>
      </c>
      <c r="C3" s="1220" t="str">
        <f>'ANNEXURE II'!C57:D57</f>
        <v>TAX ON INCOME</v>
      </c>
      <c r="D3" s="1221"/>
      <c r="E3" s="1221"/>
      <c r="F3" s="1222" t="str">
        <f>'ANNEXURE II'!E57</f>
        <v>SLABS ( A+B+C+D )</v>
      </c>
      <c r="G3" s="1222"/>
      <c r="H3" s="618"/>
      <c r="I3" s="227"/>
      <c r="J3" s="192">
        <f>'ANNEXURE II'!I57</f>
        <v>14854</v>
      </c>
    </row>
    <row r="4" spans="2:11" ht="15" customHeight="1">
      <c r="B4" s="226">
        <v>12</v>
      </c>
      <c r="C4" s="1220" t="s">
        <v>562</v>
      </c>
      <c r="D4" s="1221"/>
      <c r="E4" s="1244" t="str">
        <f>'ANNEXURE II'!F58</f>
        <v>TAX REBATE IS NOT APPLIED</v>
      </c>
      <c r="F4" s="1244"/>
      <c r="G4" s="1244"/>
      <c r="H4" s="1245"/>
      <c r="I4" s="228"/>
      <c r="J4" s="192">
        <f>'ANNEXURE II'!H58</f>
        <v>0</v>
      </c>
      <c r="K4" s="624"/>
    </row>
    <row r="5" spans="2:11" ht="15" customHeight="1">
      <c r="B5" s="226">
        <v>13</v>
      </c>
      <c r="C5" s="1220" t="s">
        <v>587</v>
      </c>
      <c r="D5" s="1221"/>
      <c r="E5" s="1221"/>
      <c r="F5" s="618"/>
      <c r="G5" s="618"/>
      <c r="H5" s="618"/>
      <c r="I5" s="227"/>
      <c r="J5" s="192">
        <f>J3-J4</f>
        <v>14854</v>
      </c>
      <c r="K5" s="624"/>
    </row>
    <row r="6" spans="2:11" ht="15" customHeight="1">
      <c r="B6" s="226">
        <v>14</v>
      </c>
      <c r="C6" s="615" t="str">
        <f>'ANNEXURE II'!C60</f>
        <v>ADD : Health and Education Cess @ 4%</v>
      </c>
      <c r="D6" s="618"/>
      <c r="E6" s="618"/>
      <c r="F6" s="567"/>
      <c r="G6" s="572" t="s">
        <v>825</v>
      </c>
      <c r="H6" s="568"/>
      <c r="I6" s="227"/>
      <c r="J6" s="192">
        <f>'ANNEXURE II'!H60</f>
        <v>594</v>
      </c>
      <c r="K6" s="624"/>
    </row>
    <row r="7" spans="2:11">
      <c r="B7" s="226">
        <v>15</v>
      </c>
      <c r="C7" s="1220" t="s">
        <v>827</v>
      </c>
      <c r="D7" s="1221"/>
      <c r="E7" s="1221"/>
      <c r="F7" s="618"/>
      <c r="G7" s="573" t="s">
        <v>830</v>
      </c>
      <c r="H7" s="569"/>
      <c r="I7" s="227"/>
      <c r="J7" s="192">
        <f>SUM(J5:J6)</f>
        <v>15448</v>
      </c>
    </row>
    <row r="8" spans="2:11">
      <c r="B8" s="226">
        <v>16</v>
      </c>
      <c r="C8" s="615" t="s">
        <v>705</v>
      </c>
      <c r="D8" s="616"/>
      <c r="E8" s="616"/>
      <c r="F8" s="616"/>
      <c r="G8" s="569"/>
      <c r="H8" s="569"/>
      <c r="I8" s="227"/>
      <c r="J8" s="397">
        <f>'ANNEXURE II'!H62</f>
        <v>0</v>
      </c>
    </row>
    <row r="9" spans="2:11">
      <c r="B9" s="226">
        <v>17</v>
      </c>
      <c r="C9" s="1220" t="s">
        <v>828</v>
      </c>
      <c r="D9" s="1221"/>
      <c r="E9" s="1221"/>
      <c r="F9" s="618"/>
      <c r="G9" s="573" t="s">
        <v>586</v>
      </c>
      <c r="H9" s="569"/>
      <c r="I9" s="227"/>
      <c r="J9" s="192">
        <f>J7-J8</f>
        <v>15448</v>
      </c>
    </row>
    <row r="10" spans="2:11">
      <c r="B10" s="229" t="s">
        <v>563</v>
      </c>
      <c r="C10" s="570" t="s">
        <v>829</v>
      </c>
      <c r="D10" s="616"/>
      <c r="E10" s="616"/>
      <c r="F10" s="569"/>
      <c r="G10" s="569"/>
      <c r="H10" s="569"/>
      <c r="I10" s="227"/>
      <c r="J10" s="192">
        <f>'ANNEXURE II'!H63</f>
        <v>5500</v>
      </c>
    </row>
    <row r="11" spans="2:11">
      <c r="B11" s="230" t="s">
        <v>564</v>
      </c>
      <c r="C11" s="1235" t="s">
        <v>565</v>
      </c>
      <c r="D11" s="1236"/>
      <c r="E11" s="1236"/>
      <c r="F11" s="1236"/>
      <c r="G11" s="1236"/>
      <c r="H11" s="1236"/>
      <c r="I11" s="227"/>
      <c r="J11" s="397"/>
    </row>
    <row r="12" spans="2:11">
      <c r="B12" s="231">
        <v>18</v>
      </c>
      <c r="C12" s="1246" t="s">
        <v>909</v>
      </c>
      <c r="D12" s="1247"/>
      <c r="E12" s="1247"/>
      <c r="F12" s="617"/>
      <c r="G12" s="1248"/>
      <c r="H12" s="1249"/>
      <c r="I12" s="227"/>
      <c r="J12" s="232">
        <f>'ANNEXURE II'!I64</f>
        <v>9948</v>
      </c>
    </row>
    <row r="13" spans="2:11" ht="20.100000000000001" customHeight="1">
      <c r="B13" s="1250" t="s">
        <v>566</v>
      </c>
      <c r="C13" s="1251"/>
      <c r="D13" s="1251"/>
      <c r="E13" s="1251"/>
      <c r="F13" s="1251"/>
      <c r="G13" s="1251"/>
      <c r="H13" s="1251"/>
      <c r="I13" s="1251"/>
      <c r="J13" s="1252"/>
    </row>
    <row r="14" spans="2:11" ht="20.100000000000001" customHeight="1">
      <c r="B14" s="1237" t="s">
        <v>822</v>
      </c>
      <c r="C14" s="1238"/>
      <c r="D14" s="1238"/>
      <c r="E14" s="1238"/>
      <c r="F14" s="1238"/>
      <c r="G14" s="1238"/>
      <c r="H14" s="1238"/>
      <c r="I14" s="1238"/>
      <c r="J14" s="1239"/>
    </row>
    <row r="15" spans="2:11" ht="14.1" customHeight="1">
      <c r="B15" s="1241" t="s">
        <v>567</v>
      </c>
      <c r="C15" s="1215" t="s">
        <v>568</v>
      </c>
      <c r="D15" s="1215" t="s">
        <v>569</v>
      </c>
      <c r="E15" s="1215" t="s">
        <v>570</v>
      </c>
      <c r="F15" s="1215" t="s">
        <v>571</v>
      </c>
      <c r="G15" s="1232" t="s">
        <v>863</v>
      </c>
      <c r="H15" s="1215" t="s">
        <v>572</v>
      </c>
      <c r="I15" s="1215" t="s">
        <v>573</v>
      </c>
      <c r="J15" s="1212" t="s">
        <v>823</v>
      </c>
    </row>
    <row r="16" spans="2:11" ht="14.1" customHeight="1">
      <c r="B16" s="1242"/>
      <c r="C16" s="1216"/>
      <c r="D16" s="1216"/>
      <c r="E16" s="1218"/>
      <c r="F16" s="1218"/>
      <c r="G16" s="1233"/>
      <c r="H16" s="1218"/>
      <c r="I16" s="1218"/>
      <c r="J16" s="1213"/>
    </row>
    <row r="17" spans="2:10" ht="14.1" customHeight="1">
      <c r="B17" s="1243"/>
      <c r="C17" s="1217"/>
      <c r="D17" s="1217"/>
      <c r="E17" s="1219"/>
      <c r="F17" s="1219"/>
      <c r="G17" s="1234"/>
      <c r="H17" s="1219"/>
      <c r="I17" s="1219"/>
      <c r="J17" s="1214"/>
    </row>
    <row r="18" spans="2:10" ht="17.100000000000001" customHeight="1">
      <c r="B18" s="562">
        <v>1</v>
      </c>
      <c r="C18" s="625"/>
      <c r="D18" s="625"/>
      <c r="E18" s="625"/>
      <c r="F18" s="626" t="str">
        <f>IF((C18+D18+E18)&lt;=0,"",(C18+D18+E18))</f>
        <v/>
      </c>
      <c r="G18" s="620"/>
      <c r="H18" s="620"/>
      <c r="I18" s="621"/>
      <c r="J18" s="622"/>
    </row>
    <row r="19" spans="2:10" ht="17.100000000000001" customHeight="1">
      <c r="B19" s="563">
        <v>2</v>
      </c>
      <c r="C19" s="625"/>
      <c r="D19" s="625"/>
      <c r="E19" s="625"/>
      <c r="F19" s="626" t="str">
        <f t="shared" ref="F19:F29" si="0">IF((C19+D19+E19)&lt;=0,"",(C19+D19+E19))</f>
        <v/>
      </c>
      <c r="G19" s="620"/>
      <c r="H19" s="620"/>
      <c r="I19" s="621"/>
      <c r="J19" s="622"/>
    </row>
    <row r="20" spans="2:10" ht="17.100000000000001" customHeight="1">
      <c r="B20" s="563">
        <v>3</v>
      </c>
      <c r="C20" s="625"/>
      <c r="D20" s="625"/>
      <c r="E20" s="625"/>
      <c r="F20" s="626" t="str">
        <f t="shared" si="0"/>
        <v/>
      </c>
      <c r="G20" s="620"/>
      <c r="H20" s="620"/>
      <c r="I20" s="621"/>
      <c r="J20" s="622"/>
    </row>
    <row r="21" spans="2:10" ht="17.100000000000001" customHeight="1">
      <c r="B21" s="563">
        <v>4</v>
      </c>
      <c r="C21" s="625"/>
      <c r="D21" s="625"/>
      <c r="E21" s="625"/>
      <c r="F21" s="626" t="str">
        <f t="shared" si="0"/>
        <v/>
      </c>
      <c r="G21" s="620"/>
      <c r="H21" s="620"/>
      <c r="I21" s="621"/>
      <c r="J21" s="622"/>
    </row>
    <row r="22" spans="2:10" ht="17.100000000000001" customHeight="1">
      <c r="B22" s="563">
        <v>5</v>
      </c>
      <c r="C22" s="625"/>
      <c r="D22" s="625"/>
      <c r="E22" s="625"/>
      <c r="F22" s="626" t="str">
        <f t="shared" si="0"/>
        <v/>
      </c>
      <c r="G22" s="620"/>
      <c r="H22" s="620"/>
      <c r="I22" s="621"/>
      <c r="J22" s="622"/>
    </row>
    <row r="23" spans="2:10" ht="17.100000000000001" customHeight="1">
      <c r="B23" s="563">
        <v>6</v>
      </c>
      <c r="C23" s="625"/>
      <c r="D23" s="625"/>
      <c r="E23" s="625"/>
      <c r="F23" s="626" t="str">
        <f t="shared" si="0"/>
        <v/>
      </c>
      <c r="G23" s="620"/>
      <c r="H23" s="620"/>
      <c r="I23" s="621"/>
      <c r="J23" s="622"/>
    </row>
    <row r="24" spans="2:10" ht="17.100000000000001" customHeight="1">
      <c r="B24" s="563">
        <v>7</v>
      </c>
      <c r="C24" s="625"/>
      <c r="D24" s="625"/>
      <c r="E24" s="625"/>
      <c r="F24" s="626" t="str">
        <f t="shared" si="0"/>
        <v/>
      </c>
      <c r="G24" s="620"/>
      <c r="H24" s="620"/>
      <c r="I24" s="621"/>
      <c r="J24" s="622"/>
    </row>
    <row r="25" spans="2:10" ht="17.100000000000001" customHeight="1">
      <c r="B25" s="563">
        <v>8</v>
      </c>
      <c r="C25" s="625"/>
      <c r="D25" s="625"/>
      <c r="E25" s="625"/>
      <c r="F25" s="626" t="str">
        <f t="shared" si="0"/>
        <v/>
      </c>
      <c r="G25" s="620"/>
      <c r="H25" s="620"/>
      <c r="I25" s="621"/>
      <c r="J25" s="622"/>
    </row>
    <row r="26" spans="2:10" ht="17.100000000000001" customHeight="1">
      <c r="B26" s="563">
        <v>9</v>
      </c>
      <c r="C26" s="625"/>
      <c r="D26" s="625"/>
      <c r="E26" s="625"/>
      <c r="F26" s="626" t="str">
        <f t="shared" si="0"/>
        <v/>
      </c>
      <c r="G26" s="620"/>
      <c r="H26" s="620"/>
      <c r="I26" s="621"/>
      <c r="J26" s="622"/>
    </row>
    <row r="27" spans="2:10" ht="17.100000000000001" customHeight="1">
      <c r="B27" s="563">
        <v>10</v>
      </c>
      <c r="C27" s="625"/>
      <c r="D27" s="625"/>
      <c r="E27" s="625"/>
      <c r="F27" s="626" t="str">
        <f t="shared" si="0"/>
        <v/>
      </c>
      <c r="G27" s="620"/>
      <c r="H27" s="620"/>
      <c r="I27" s="621"/>
      <c r="J27" s="622"/>
    </row>
    <row r="28" spans="2:10" ht="17.100000000000001" customHeight="1">
      <c r="B28" s="563">
        <v>11</v>
      </c>
      <c r="C28" s="625"/>
      <c r="D28" s="625"/>
      <c r="E28" s="625"/>
      <c r="F28" s="626" t="str">
        <f t="shared" si="0"/>
        <v/>
      </c>
      <c r="G28" s="620"/>
      <c r="H28" s="620"/>
      <c r="I28" s="621"/>
      <c r="J28" s="622"/>
    </row>
    <row r="29" spans="2:10" ht="17.100000000000001" customHeight="1">
      <c r="B29" s="564">
        <v>12</v>
      </c>
      <c r="C29" s="625"/>
      <c r="D29" s="625"/>
      <c r="E29" s="625"/>
      <c r="F29" s="626" t="str">
        <f t="shared" si="0"/>
        <v/>
      </c>
      <c r="G29" s="620"/>
      <c r="H29" s="620"/>
      <c r="I29" s="621"/>
      <c r="J29" s="622"/>
    </row>
    <row r="30" spans="2:10" ht="17.100000000000001" customHeight="1">
      <c r="B30" s="233"/>
      <c r="C30" s="626" t="str">
        <f>IF(SUM(C18:C29)&lt;=0,"",SUM(C18:C29))</f>
        <v/>
      </c>
      <c r="D30" s="626" t="str">
        <f t="shared" ref="D30:E30" si="1">IF(SUM(D18:D29)&lt;=0,"",SUM(D18:D29))</f>
        <v/>
      </c>
      <c r="E30" s="626" t="str">
        <f t="shared" si="1"/>
        <v/>
      </c>
      <c r="F30" s="626" t="str">
        <f>IF(SUM(F18:F29)&lt;=0,"",SUM(F18:F29))</f>
        <v/>
      </c>
      <c r="G30" s="234"/>
      <c r="H30" s="234"/>
      <c r="I30" s="234"/>
      <c r="J30" s="619"/>
    </row>
    <row r="31" spans="2:10" ht="17.100000000000001" customHeight="1">
      <c r="B31" s="235"/>
      <c r="C31" s="1253" t="str">
        <f>IF('ANNEXURE II'!I64=0,"ZERO RUPEES",IF('ANNEXURE II'!I64&lt;0,"",IF('ANNEXURE II'!I64&gt;0,CONCATENATE("( ",PRO!H14," )",""))))</f>
        <v>( Nine Thousand Nine Hundred and Forty Eight Rupees )</v>
      </c>
      <c r="D31" s="1253"/>
      <c r="E31" s="1253"/>
      <c r="F31" s="1253"/>
      <c r="G31" s="1253"/>
      <c r="H31" s="1253"/>
      <c r="I31" s="1253"/>
      <c r="J31" s="236"/>
    </row>
    <row r="32" spans="2:10" ht="17.45" customHeight="1">
      <c r="B32" s="237"/>
      <c r="C32" s="1254" t="str">
        <f>CONCATENATE("         I  Sri / Smt.  ",UPPER(DATA!O35),"  working in the capacity of ",UPPER(DATA!O36),"-",UPPER(DATA!O33),"-MANDAL  do hereby certify that the  sum of Rs. : ",J12," (in words) ",C31," has  been  deducted  at  source and  paid  to  the credit of the central Government.
        I further certify that the Information  given above is true, complete and correct based on the books of account , documents and other available records.")</f>
        <v xml:space="preserve">         I  Sri / Smt.  B.MASTAN NAIK  working in the capacity of MANDAL EDUCATIONAL OFFICER-DORNALA-MANDAL  do hereby certify that the  sum of Rs. : 9948 (in words) ( Nine Thousand Nine Hundred and Forty Eight Rupees ) has  been  deducted  at  source and  paid  to  the credit of the central Government.
        I further certify that the Information  given above is true, complete and correct based on the books of account , documents and other available records.</v>
      </c>
      <c r="D32" s="1254"/>
      <c r="E32" s="1254"/>
      <c r="F32" s="1254"/>
      <c r="G32" s="1254"/>
      <c r="H32" s="1254"/>
      <c r="I32" s="1254"/>
      <c r="J32" s="1255"/>
    </row>
    <row r="33" spans="2:10" ht="17.45" customHeight="1">
      <c r="B33" s="561"/>
      <c r="C33" s="1254"/>
      <c r="D33" s="1254"/>
      <c r="E33" s="1254"/>
      <c r="F33" s="1254"/>
      <c r="G33" s="1254"/>
      <c r="H33" s="1254"/>
      <c r="I33" s="1254"/>
      <c r="J33" s="1255"/>
    </row>
    <row r="34" spans="2:10" ht="17.45" customHeight="1">
      <c r="B34" s="561"/>
      <c r="C34" s="1254"/>
      <c r="D34" s="1254"/>
      <c r="E34" s="1254"/>
      <c r="F34" s="1254"/>
      <c r="G34" s="1254"/>
      <c r="H34" s="1254"/>
      <c r="I34" s="1254"/>
      <c r="J34" s="1255"/>
    </row>
    <row r="35" spans="2:10" ht="17.45" customHeight="1">
      <c r="B35" s="561"/>
      <c r="C35" s="1254"/>
      <c r="D35" s="1254"/>
      <c r="E35" s="1254"/>
      <c r="F35" s="1254"/>
      <c r="G35" s="1254"/>
      <c r="H35" s="1254"/>
      <c r="I35" s="1254"/>
      <c r="J35" s="1255"/>
    </row>
    <row r="36" spans="2:10" ht="17.45" customHeight="1">
      <c r="B36" s="560" t="s">
        <v>820</v>
      </c>
      <c r="C36" s="1254"/>
      <c r="D36" s="1254"/>
      <c r="E36" s="1254"/>
      <c r="F36" s="1254"/>
      <c r="G36" s="1254"/>
      <c r="H36" s="1254"/>
      <c r="I36" s="1254"/>
      <c r="J36" s="1255"/>
    </row>
    <row r="37" spans="2:10" ht="17.45" customHeight="1">
      <c r="B37" s="560" t="s">
        <v>821</v>
      </c>
      <c r="C37" s="1254"/>
      <c r="D37" s="1254"/>
      <c r="E37" s="1254"/>
      <c r="F37" s="1254"/>
      <c r="G37" s="1254"/>
      <c r="H37" s="1254"/>
      <c r="I37" s="1254"/>
      <c r="J37" s="1255"/>
    </row>
    <row r="38" spans="2:10" ht="17.45" customHeight="1">
      <c r="B38" s="560"/>
      <c r="C38" s="1254"/>
      <c r="D38" s="1254"/>
      <c r="E38" s="1254"/>
      <c r="F38" s="1254"/>
      <c r="G38" s="1254"/>
      <c r="H38" s="1254"/>
      <c r="I38" s="1254"/>
      <c r="J38" s="1255"/>
    </row>
    <row r="39" spans="2:10" ht="39.950000000000003" customHeight="1">
      <c r="B39" s="238"/>
      <c r="C39" s="239"/>
      <c r="D39" s="239"/>
      <c r="E39" s="239"/>
      <c r="F39" s="240"/>
      <c r="G39" s="241"/>
      <c r="H39" s="241"/>
      <c r="I39" s="241"/>
      <c r="J39" s="242"/>
    </row>
    <row r="40" spans="2:10" ht="15" customHeight="1">
      <c r="B40" s="243"/>
      <c r="C40" s="244" t="s">
        <v>574</v>
      </c>
      <c r="D40" s="1240" t="str">
        <f>UPPER(DATA!O33)</f>
        <v>DORNALA</v>
      </c>
      <c r="E40" s="1240"/>
      <c r="F40" s="1256" t="s">
        <v>575</v>
      </c>
      <c r="G40" s="1256"/>
      <c r="H40" s="1256"/>
      <c r="I40" s="1256"/>
      <c r="J40" s="1257"/>
    </row>
    <row r="41" spans="2:10" ht="15" customHeight="1">
      <c r="B41" s="243"/>
      <c r="C41" s="244" t="s">
        <v>576</v>
      </c>
      <c r="D41" s="1211">
        <f ca="1">TODAY()</f>
        <v>43612</v>
      </c>
      <c r="E41" s="1211"/>
      <c r="F41" s="245"/>
      <c r="G41" s="246" t="s">
        <v>577</v>
      </c>
      <c r="H41" s="1230" t="str">
        <f>"Sri./Smt.  "&amp;UPPER(DATA!O35)</f>
        <v>Sri./Smt.  B.MASTAN NAIK</v>
      </c>
      <c r="I41" s="1230"/>
      <c r="J41" s="1231"/>
    </row>
    <row r="42" spans="2:10" ht="15" customHeight="1">
      <c r="B42" s="247"/>
      <c r="C42" s="248"/>
      <c r="D42" s="249"/>
      <c r="E42" s="250"/>
      <c r="F42" s="245"/>
      <c r="G42" s="251" t="s">
        <v>578</v>
      </c>
      <c r="H42" s="1228" t="str">
        <f>UPPER(DATA!O36)</f>
        <v>MANDAL EDUCATIONAL OFFICER</v>
      </c>
      <c r="I42" s="1228"/>
      <c r="J42" s="1229"/>
    </row>
    <row r="43" spans="2:10" ht="15" customHeight="1">
      <c r="B43" s="247"/>
      <c r="C43" s="248"/>
      <c r="D43" s="248"/>
      <c r="E43" s="248"/>
      <c r="F43" s="245"/>
      <c r="G43" s="246" t="s">
        <v>579</v>
      </c>
      <c r="H43" s="1228" t="str">
        <f>DATA!O32</f>
        <v>DORNALA</v>
      </c>
      <c r="I43" s="1228"/>
      <c r="J43" s="1229"/>
    </row>
    <row r="44" spans="2:10" ht="15" customHeight="1">
      <c r="B44" s="247"/>
      <c r="C44" s="248"/>
      <c r="D44" s="248"/>
      <c r="E44" s="248"/>
      <c r="F44" s="245"/>
      <c r="G44" s="246" t="s">
        <v>580</v>
      </c>
      <c r="H44" s="1228" t="str">
        <f>DATA!O33</f>
        <v>DORNALA</v>
      </c>
      <c r="I44" s="1228"/>
      <c r="J44" s="1229"/>
    </row>
    <row r="45" spans="2:10" ht="15" customHeight="1">
      <c r="B45" s="247"/>
      <c r="C45" s="248"/>
      <c r="D45" s="248"/>
      <c r="E45" s="248"/>
      <c r="F45" s="245"/>
      <c r="G45" s="246" t="s">
        <v>581</v>
      </c>
      <c r="H45" s="1228" t="str">
        <f>DATA!O34</f>
        <v>PRAKASAM</v>
      </c>
      <c r="I45" s="1228"/>
      <c r="J45" s="1229"/>
    </row>
    <row r="46" spans="2:10" ht="15" customHeight="1">
      <c r="B46" s="247"/>
      <c r="C46" s="248"/>
      <c r="D46" s="248"/>
      <c r="E46" s="248"/>
      <c r="F46" s="252"/>
      <c r="G46" s="253"/>
      <c r="H46" s="254"/>
      <c r="I46" s="254"/>
      <c r="J46" s="255"/>
    </row>
    <row r="47" spans="2:10" ht="15" customHeight="1" thickBot="1">
      <c r="B47" s="247"/>
      <c r="C47" s="248"/>
      <c r="D47" s="248"/>
      <c r="E47" s="248"/>
      <c r="F47" s="252"/>
      <c r="G47" s="253"/>
      <c r="H47" s="254"/>
      <c r="I47" s="254"/>
      <c r="J47" s="255"/>
    </row>
    <row r="48" spans="2:10">
      <c r="B48" s="574" t="s">
        <v>832</v>
      </c>
      <c r="C48" s="1226" t="s">
        <v>582</v>
      </c>
      <c r="D48" s="1226"/>
      <c r="E48" s="1226"/>
      <c r="F48" s="1226"/>
      <c r="G48" s="1226"/>
      <c r="H48" s="1226"/>
      <c r="I48" s="1226"/>
      <c r="J48" s="1227"/>
    </row>
    <row r="49" spans="2:10" ht="15.75" thickBot="1">
      <c r="B49" s="575" t="s">
        <v>833</v>
      </c>
      <c r="C49" s="1224" t="s">
        <v>583</v>
      </c>
      <c r="D49" s="1224"/>
      <c r="E49" s="1224"/>
      <c r="F49" s="1224"/>
      <c r="G49" s="1224"/>
      <c r="H49" s="1224"/>
      <c r="I49" s="1224"/>
      <c r="J49" s="1225"/>
    </row>
    <row r="50" spans="2:10" ht="15.75" thickTop="1">
      <c r="B50" s="1223" t="s">
        <v>268</v>
      </c>
      <c r="C50" s="1223"/>
      <c r="D50" s="1223"/>
      <c r="E50" s="1223"/>
      <c r="F50" s="1223"/>
      <c r="G50" s="1223"/>
      <c r="H50" s="1223"/>
      <c r="I50" s="1223"/>
      <c r="J50" s="1223"/>
    </row>
  </sheetData>
  <sheetProtection password="C6B1" sheet="1" objects="1" scenarios="1" selectLockedCells="1"/>
  <protectedRanges>
    <protectedRange sqref="J4" name="Range5"/>
    <protectedRange sqref="D40:E41" name="Range3"/>
    <protectedRange sqref="C18:C30 D18:J31" name="Range1"/>
    <protectedRange sqref="F34 B33 H33:J34 D33:F33 G34:G35 B34:D35" name="Range2"/>
    <protectedRange sqref="D40:D41" name="Range4"/>
  </protectedRanges>
  <mergeCells count="34">
    <mergeCell ref="B14:J14"/>
    <mergeCell ref="D40:E40"/>
    <mergeCell ref="B15:B17"/>
    <mergeCell ref="C15:C17"/>
    <mergeCell ref="C4:D4"/>
    <mergeCell ref="E4:H4"/>
    <mergeCell ref="C12:E12"/>
    <mergeCell ref="G12:H12"/>
    <mergeCell ref="B13:J13"/>
    <mergeCell ref="C31:I31"/>
    <mergeCell ref="C32:J38"/>
    <mergeCell ref="F40:J40"/>
    <mergeCell ref="C3:E3"/>
    <mergeCell ref="F3:G3"/>
    <mergeCell ref="B50:J50"/>
    <mergeCell ref="C49:J49"/>
    <mergeCell ref="C48:J48"/>
    <mergeCell ref="H45:J45"/>
    <mergeCell ref="H44:J44"/>
    <mergeCell ref="H43:J43"/>
    <mergeCell ref="H42:J42"/>
    <mergeCell ref="H41:J41"/>
    <mergeCell ref="C7:E7"/>
    <mergeCell ref="C9:E9"/>
    <mergeCell ref="F15:F17"/>
    <mergeCell ref="G15:G17"/>
    <mergeCell ref="C5:E5"/>
    <mergeCell ref="C11:H11"/>
    <mergeCell ref="D41:E41"/>
    <mergeCell ref="J15:J17"/>
    <mergeCell ref="D15:D17"/>
    <mergeCell ref="E15:E17"/>
    <mergeCell ref="H15:H17"/>
    <mergeCell ref="I15:I17"/>
  </mergeCells>
  <printOptions horizontalCentered="1" verticalCentered="1"/>
  <pageMargins left="0.23622047244094491" right="0.23622047244094491" top="0.23622047244094491" bottom="0.23622047244094491" header="0.15748031496062992" footer="0.1574803149606299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893AC4"/>
  </sheetPr>
  <dimension ref="B1:Z83"/>
  <sheetViews>
    <sheetView showGridLines="0" showRowColHeaders="0" zoomScale="90" zoomScaleNormal="90" workbookViewId="0">
      <pane xSplit="1" ySplit="3" topLeftCell="B63" activePane="bottomRight" state="frozen"/>
      <selection activeCell="B72" sqref="B72:J72"/>
      <selection pane="topRight" activeCell="B72" sqref="B72:J72"/>
      <selection pane="bottomLeft" activeCell="B72" sqref="B72:J72"/>
      <selection pane="bottomRight" activeCell="B83" sqref="B83:Z83"/>
    </sheetView>
  </sheetViews>
  <sheetFormatPr defaultColWidth="9.140625" defaultRowHeight="15"/>
  <cols>
    <col min="1" max="1" width="2.140625" style="1" customWidth="1" collapsed="1"/>
    <col min="2" max="2" width="3.7109375" style="1" customWidth="1" collapsed="1"/>
    <col min="3" max="5" width="4.42578125" style="1" customWidth="1" collapsed="1"/>
    <col min="6" max="16" width="3.5703125" style="1" customWidth="1" collapsed="1"/>
    <col min="17" max="22" width="3.85546875" style="1" customWidth="1" collapsed="1"/>
    <col min="23" max="23" width="4.140625" style="1" customWidth="1" collapsed="1"/>
    <col min="24" max="24" width="4.42578125" style="1" customWidth="1" collapsed="1"/>
    <col min="25" max="26" width="3.5703125" style="1" customWidth="1" collapsed="1"/>
    <col min="27" max="27" width="9.140625" style="1" collapsed="1"/>
    <col min="28" max="34" width="12.7109375" style="1" customWidth="1" collapsed="1"/>
    <col min="35" max="16384" width="9.140625" style="1" collapsed="1"/>
  </cols>
  <sheetData>
    <row r="1" spans="2:26" ht="9" customHeight="1" thickBot="1"/>
    <row r="2" spans="2:26" ht="15" customHeight="1" thickTop="1">
      <c r="B2" s="1309" t="s">
        <v>746</v>
      </c>
      <c r="C2" s="1310"/>
      <c r="D2" s="1310"/>
      <c r="E2" s="1310"/>
      <c r="F2" s="1310"/>
      <c r="G2" s="1310"/>
      <c r="H2" s="1310"/>
      <c r="I2" s="1310"/>
      <c r="J2" s="1310"/>
      <c r="K2" s="1310"/>
      <c r="L2" s="1310"/>
      <c r="M2" s="1310"/>
      <c r="N2" s="1310"/>
      <c r="O2" s="1310"/>
      <c r="P2" s="1310"/>
      <c r="Q2" s="1310"/>
      <c r="R2" s="1310"/>
      <c r="S2" s="1310"/>
      <c r="T2" s="1310"/>
      <c r="U2" s="1310"/>
      <c r="V2" s="1310"/>
      <c r="W2" s="1310"/>
      <c r="X2" s="1310"/>
      <c r="Y2" s="1310"/>
      <c r="Z2" s="1311"/>
    </row>
    <row r="3" spans="2:26" ht="20.25" customHeight="1">
      <c r="B3" s="1312"/>
      <c r="C3" s="1313"/>
      <c r="D3" s="1313"/>
      <c r="E3" s="1313"/>
      <c r="F3" s="1313"/>
      <c r="G3" s="1313"/>
      <c r="H3" s="1313"/>
      <c r="I3" s="1313"/>
      <c r="J3" s="1313"/>
      <c r="K3" s="1313"/>
      <c r="L3" s="1313"/>
      <c r="M3" s="1313"/>
      <c r="N3" s="1313"/>
      <c r="O3" s="1313"/>
      <c r="P3" s="1313"/>
      <c r="Q3" s="1313"/>
      <c r="R3" s="1313"/>
      <c r="S3" s="1313"/>
      <c r="T3" s="1313"/>
      <c r="U3" s="1313"/>
      <c r="V3" s="1313"/>
      <c r="W3" s="1313"/>
      <c r="X3" s="1313"/>
      <c r="Y3" s="1313"/>
      <c r="Z3" s="1314"/>
    </row>
    <row r="4" spans="2:26" ht="18" customHeight="1">
      <c r="B4" s="1302" t="s">
        <v>747</v>
      </c>
      <c r="C4" s="1303"/>
      <c r="D4" s="1303"/>
      <c r="E4" s="1303"/>
      <c r="F4" s="1303"/>
      <c r="G4" s="1303"/>
      <c r="H4" s="1303"/>
      <c r="I4" s="1303"/>
      <c r="J4" s="1303"/>
      <c r="K4" s="1303"/>
      <c r="L4" s="1303"/>
      <c r="M4" s="1303"/>
      <c r="N4" s="1303"/>
      <c r="O4" s="1303"/>
      <c r="P4" s="1303"/>
      <c r="Q4" s="1303"/>
      <c r="R4" s="1303"/>
      <c r="S4" s="1303"/>
      <c r="T4" s="1303"/>
      <c r="U4" s="1303"/>
      <c r="V4" s="1303"/>
      <c r="W4" s="1303"/>
      <c r="X4" s="1303"/>
      <c r="Y4" s="1303"/>
      <c r="Z4" s="1304"/>
    </row>
    <row r="5" spans="2:26" ht="18.600000000000001" customHeight="1">
      <c r="B5" s="491">
        <v>1</v>
      </c>
      <c r="C5" s="492" t="s">
        <v>748</v>
      </c>
      <c r="D5" s="492"/>
      <c r="E5" s="492"/>
      <c r="F5" s="492"/>
      <c r="G5" s="492"/>
      <c r="H5" s="492"/>
      <c r="I5" s="492"/>
      <c r="J5" s="492"/>
      <c r="K5" s="492"/>
      <c r="L5" s="1305" t="str">
        <f>UPPER(CONCATENATE("Sri./Smt. ",DATA!O25,"  ",DATA!O27,"  ",DATA!O31,"  ",DATA!O33,"_mandal.   ",DATA!O34,"_district."))</f>
        <v>SRI./SMT.     MEO  DORNALA_MANDAL.   PRAKASAM_DISTRICT.</v>
      </c>
      <c r="M5" s="1305"/>
      <c r="N5" s="1305"/>
      <c r="O5" s="1305"/>
      <c r="P5" s="1305"/>
      <c r="Q5" s="1305"/>
      <c r="R5" s="1305"/>
      <c r="S5" s="1305"/>
      <c r="T5" s="1305"/>
      <c r="U5" s="1305"/>
      <c r="V5" s="1305"/>
      <c r="W5" s="1305"/>
      <c r="X5" s="1305"/>
      <c r="Y5" s="1305"/>
      <c r="Z5" s="493"/>
    </row>
    <row r="6" spans="2:26" ht="18.600000000000001" customHeight="1">
      <c r="B6" s="491"/>
      <c r="C6" s="492"/>
      <c r="D6" s="492"/>
      <c r="E6" s="492"/>
      <c r="F6" s="492"/>
      <c r="G6" s="492"/>
      <c r="H6" s="492"/>
      <c r="I6" s="492"/>
      <c r="J6" s="492"/>
      <c r="K6" s="492"/>
      <c r="L6" s="1305"/>
      <c r="M6" s="1305"/>
      <c r="N6" s="1305"/>
      <c r="O6" s="1305"/>
      <c r="P6" s="1305"/>
      <c r="Q6" s="1305"/>
      <c r="R6" s="1305"/>
      <c r="S6" s="1305"/>
      <c r="T6" s="1305"/>
      <c r="U6" s="1305"/>
      <c r="V6" s="1305"/>
      <c r="W6" s="1305"/>
      <c r="X6" s="1305"/>
      <c r="Y6" s="1305"/>
      <c r="Z6" s="493"/>
    </row>
    <row r="7" spans="2:26" ht="15.95" customHeight="1">
      <c r="B7" s="491">
        <v>2</v>
      </c>
      <c r="C7" s="492" t="s">
        <v>749</v>
      </c>
      <c r="D7" s="492"/>
      <c r="E7" s="492"/>
      <c r="F7" s="492"/>
      <c r="G7" s="492"/>
      <c r="H7" s="492"/>
      <c r="I7" s="492"/>
      <c r="J7" s="492"/>
      <c r="K7" s="492"/>
      <c r="L7" s="1306" t="str">
        <f>UPPER(DATA!O29)</f>
        <v/>
      </c>
      <c r="M7" s="1306"/>
      <c r="N7" s="1306"/>
      <c r="O7" s="1306"/>
      <c r="P7" s="1306"/>
      <c r="Q7" s="1306"/>
      <c r="R7" s="1306"/>
      <c r="S7" s="1306"/>
      <c r="T7" s="1306"/>
      <c r="U7" s="1306"/>
      <c r="V7" s="1306"/>
      <c r="W7" s="1306"/>
      <c r="X7" s="1306"/>
      <c r="Y7" s="1306"/>
      <c r="Z7" s="493"/>
    </row>
    <row r="8" spans="2:26" ht="15.95" customHeight="1">
      <c r="B8" s="491">
        <v>3</v>
      </c>
      <c r="C8" s="492" t="s">
        <v>750</v>
      </c>
      <c r="D8" s="492"/>
      <c r="E8" s="492"/>
      <c r="F8" s="492"/>
      <c r="G8" s="492"/>
      <c r="H8" s="492"/>
      <c r="I8" s="492"/>
      <c r="J8" s="492"/>
      <c r="K8" s="492"/>
      <c r="L8" s="1307" t="s">
        <v>790</v>
      </c>
      <c r="M8" s="1307"/>
      <c r="N8" s="1307"/>
      <c r="O8" s="1307"/>
      <c r="P8" s="1307"/>
      <c r="Q8" s="1307"/>
      <c r="R8" s="1307"/>
      <c r="S8" s="1307"/>
      <c r="T8" s="1307"/>
      <c r="U8" s="1307"/>
      <c r="V8" s="1307"/>
      <c r="W8" s="1307"/>
      <c r="X8" s="1307"/>
      <c r="Y8" s="494"/>
      <c r="Z8" s="493"/>
    </row>
    <row r="9" spans="2:26" ht="15.95" customHeight="1">
      <c r="B9" s="491"/>
      <c r="C9" s="1308" t="s">
        <v>751</v>
      </c>
      <c r="D9" s="1308"/>
      <c r="E9" s="1308"/>
      <c r="F9" s="1308"/>
      <c r="G9" s="1308"/>
      <c r="H9" s="1308"/>
      <c r="I9" s="1308"/>
      <c r="J9" s="1308"/>
      <c r="K9" s="1308"/>
      <c r="L9" s="1308"/>
      <c r="M9" s="1308"/>
      <c r="N9" s="1308"/>
      <c r="O9" s="1308"/>
      <c r="P9" s="1308"/>
      <c r="Q9" s="1308"/>
      <c r="R9" s="1308"/>
      <c r="S9" s="1308"/>
      <c r="T9" s="1308"/>
      <c r="U9" s="1308"/>
      <c r="V9" s="1308"/>
      <c r="W9" s="1308"/>
      <c r="X9" s="1308"/>
      <c r="Y9" s="1308"/>
      <c r="Z9" s="493"/>
    </row>
    <row r="10" spans="2:26" ht="15.95" customHeight="1">
      <c r="B10" s="491"/>
      <c r="C10" s="1308"/>
      <c r="D10" s="1308"/>
      <c r="E10" s="1308"/>
      <c r="F10" s="1308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493"/>
    </row>
    <row r="11" spans="2:26" ht="15.95" customHeight="1">
      <c r="B11" s="491"/>
      <c r="C11" s="1308"/>
      <c r="D11" s="1308"/>
      <c r="E11" s="1308"/>
      <c r="F11" s="1308"/>
      <c r="G11" s="1308"/>
      <c r="H11" s="1308"/>
      <c r="I11" s="1308"/>
      <c r="J11" s="1308"/>
      <c r="K11" s="1308"/>
      <c r="L11" s="1308"/>
      <c r="M11" s="1308"/>
      <c r="N11" s="1308"/>
      <c r="O11" s="1308"/>
      <c r="P11" s="1308"/>
      <c r="Q11" s="1308"/>
      <c r="R11" s="1308"/>
      <c r="S11" s="1308"/>
      <c r="T11" s="1308"/>
      <c r="U11" s="1308"/>
      <c r="V11" s="1308"/>
      <c r="W11" s="1308"/>
      <c r="X11" s="1308"/>
      <c r="Y11" s="1308"/>
      <c r="Z11" s="493"/>
    </row>
    <row r="12" spans="2:26" ht="15.95" customHeight="1">
      <c r="B12" s="495">
        <v>1</v>
      </c>
      <c r="C12" s="496" t="s">
        <v>752</v>
      </c>
      <c r="D12" s="1289" t="s">
        <v>753</v>
      </c>
      <c r="E12" s="1289"/>
      <c r="F12" s="1289"/>
      <c r="G12" s="1289"/>
      <c r="H12" s="1289"/>
      <c r="I12" s="1289"/>
      <c r="J12" s="1289"/>
      <c r="K12" s="1289"/>
      <c r="L12" s="1289"/>
      <c r="M12" s="1289"/>
      <c r="N12" s="1289"/>
      <c r="O12" s="1289"/>
      <c r="P12" s="1289"/>
      <c r="Q12" s="1289"/>
      <c r="R12" s="1289"/>
      <c r="S12" s="496" t="s">
        <v>754</v>
      </c>
      <c r="T12" s="1300">
        <f>RELIEF!W12</f>
        <v>88697</v>
      </c>
      <c r="U12" s="1301"/>
      <c r="V12" s="1301"/>
      <c r="W12" s="1301"/>
      <c r="X12" s="1301"/>
      <c r="Y12" s="496"/>
      <c r="Z12" s="497"/>
    </row>
    <row r="13" spans="2:26" ht="15.95" customHeight="1">
      <c r="B13" s="495"/>
      <c r="C13" s="496"/>
      <c r="D13" s="1289"/>
      <c r="E13" s="1289"/>
      <c r="F13" s="1289"/>
      <c r="G13" s="1289"/>
      <c r="H13" s="1289"/>
      <c r="I13" s="1289"/>
      <c r="J13" s="1289"/>
      <c r="K13" s="1289"/>
      <c r="L13" s="1289"/>
      <c r="M13" s="1289"/>
      <c r="N13" s="1289"/>
      <c r="O13" s="1289"/>
      <c r="P13" s="1289"/>
      <c r="Q13" s="1289"/>
      <c r="R13" s="1289"/>
      <c r="S13" s="496"/>
      <c r="T13" s="1286"/>
      <c r="U13" s="1286"/>
      <c r="V13" s="1286"/>
      <c r="W13" s="1286"/>
      <c r="X13" s="1286"/>
      <c r="Y13" s="496"/>
      <c r="Z13" s="497"/>
    </row>
    <row r="14" spans="2:26" ht="23.1" customHeight="1">
      <c r="B14" s="495"/>
      <c r="C14" s="496" t="s">
        <v>755</v>
      </c>
      <c r="D14" s="1289" t="s">
        <v>756</v>
      </c>
      <c r="E14" s="1289"/>
      <c r="F14" s="1289"/>
      <c r="G14" s="1289"/>
      <c r="H14" s="1289"/>
      <c r="I14" s="1289"/>
      <c r="J14" s="1289"/>
      <c r="K14" s="1289"/>
      <c r="L14" s="1289"/>
      <c r="M14" s="1289"/>
      <c r="N14" s="1289"/>
      <c r="O14" s="1289"/>
      <c r="P14" s="1289"/>
      <c r="Q14" s="1289"/>
      <c r="R14" s="1289"/>
      <c r="S14" s="496" t="s">
        <v>754</v>
      </c>
      <c r="T14" s="1290" t="s">
        <v>9</v>
      </c>
      <c r="U14" s="1290"/>
      <c r="V14" s="1290"/>
      <c r="W14" s="1290"/>
      <c r="X14" s="1290"/>
      <c r="Y14" s="496"/>
      <c r="Z14" s="497"/>
    </row>
    <row r="15" spans="2:26" ht="23.1" customHeight="1">
      <c r="B15" s="495"/>
      <c r="C15" s="496"/>
      <c r="D15" s="1289"/>
      <c r="E15" s="1289"/>
      <c r="F15" s="1289"/>
      <c r="G15" s="1289"/>
      <c r="H15" s="1289"/>
      <c r="I15" s="1289"/>
      <c r="J15" s="1289"/>
      <c r="K15" s="1289"/>
      <c r="L15" s="1289"/>
      <c r="M15" s="1289"/>
      <c r="N15" s="1289"/>
      <c r="O15" s="1289"/>
      <c r="P15" s="1289"/>
      <c r="Q15" s="1289"/>
      <c r="R15" s="1289"/>
      <c r="S15" s="496"/>
      <c r="T15" s="1286"/>
      <c r="U15" s="1286"/>
      <c r="V15" s="1286"/>
      <c r="W15" s="1286"/>
      <c r="X15" s="1286"/>
      <c r="Y15" s="496"/>
      <c r="Z15" s="497"/>
    </row>
    <row r="16" spans="2:26" ht="15.95" customHeight="1">
      <c r="B16" s="495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1286"/>
      <c r="U16" s="1286"/>
      <c r="V16" s="1286"/>
      <c r="W16" s="1286"/>
      <c r="X16" s="1286"/>
      <c r="Y16" s="496"/>
      <c r="Z16" s="497"/>
    </row>
    <row r="17" spans="2:26" ht="20.100000000000001" customHeight="1">
      <c r="B17" s="495"/>
      <c r="C17" s="496" t="s">
        <v>757</v>
      </c>
      <c r="D17" s="1289" t="s">
        <v>758</v>
      </c>
      <c r="E17" s="1289"/>
      <c r="F17" s="1289"/>
      <c r="G17" s="1289"/>
      <c r="H17" s="1289"/>
      <c r="I17" s="1289"/>
      <c r="J17" s="1289"/>
      <c r="K17" s="1289"/>
      <c r="L17" s="1289"/>
      <c r="M17" s="1289"/>
      <c r="N17" s="1289"/>
      <c r="O17" s="1289"/>
      <c r="P17" s="1289"/>
      <c r="Q17" s="1289"/>
      <c r="R17" s="1289"/>
      <c r="S17" s="496" t="s">
        <v>754</v>
      </c>
      <c r="T17" s="1290" t="s">
        <v>9</v>
      </c>
      <c r="U17" s="1290"/>
      <c r="V17" s="1290"/>
      <c r="W17" s="1290"/>
      <c r="X17" s="1290"/>
      <c r="Y17" s="496"/>
      <c r="Z17" s="497"/>
    </row>
    <row r="18" spans="2:26" ht="20.100000000000001" customHeight="1">
      <c r="B18" s="495"/>
      <c r="C18" s="496"/>
      <c r="D18" s="1289"/>
      <c r="E18" s="1289"/>
      <c r="F18" s="1289"/>
      <c r="G18" s="1289"/>
      <c r="H18" s="1289"/>
      <c r="I18" s="1289"/>
      <c r="J18" s="1289"/>
      <c r="K18" s="1289"/>
      <c r="L18" s="1289"/>
      <c r="M18" s="1289"/>
      <c r="N18" s="1289"/>
      <c r="O18" s="1289"/>
      <c r="P18" s="1289"/>
      <c r="Q18" s="1289"/>
      <c r="R18" s="1289"/>
      <c r="S18" s="496"/>
      <c r="T18" s="1286"/>
      <c r="U18" s="1286"/>
      <c r="V18" s="1286"/>
      <c r="W18" s="1286"/>
      <c r="X18" s="1286"/>
      <c r="Y18" s="496"/>
      <c r="Z18" s="497"/>
    </row>
    <row r="19" spans="2:26" ht="20.100000000000001" customHeight="1">
      <c r="B19" s="495"/>
      <c r="C19" s="496"/>
      <c r="D19" s="1289"/>
      <c r="E19" s="1289"/>
      <c r="F19" s="1289"/>
      <c r="G19" s="1289"/>
      <c r="H19" s="1289"/>
      <c r="I19" s="1289"/>
      <c r="J19" s="1289"/>
      <c r="K19" s="1289"/>
      <c r="L19" s="1289"/>
      <c r="M19" s="1289"/>
      <c r="N19" s="1289"/>
      <c r="O19" s="1289"/>
      <c r="P19" s="1289"/>
      <c r="Q19" s="1289"/>
      <c r="R19" s="1289"/>
      <c r="S19" s="496"/>
      <c r="T19" s="1286"/>
      <c r="U19" s="1286"/>
      <c r="V19" s="1286"/>
      <c r="W19" s="1286"/>
      <c r="X19" s="1286"/>
      <c r="Y19" s="496"/>
      <c r="Z19" s="497"/>
    </row>
    <row r="20" spans="2:26" ht="20.100000000000001" customHeight="1">
      <c r="B20" s="495"/>
      <c r="C20" s="496"/>
      <c r="D20" s="1289"/>
      <c r="E20" s="1289"/>
      <c r="F20" s="1289"/>
      <c r="G20" s="1289"/>
      <c r="H20" s="1289"/>
      <c r="I20" s="1289"/>
      <c r="J20" s="1289"/>
      <c r="K20" s="1289"/>
      <c r="L20" s="1289"/>
      <c r="M20" s="1289"/>
      <c r="N20" s="1289"/>
      <c r="O20" s="1289"/>
      <c r="P20" s="1289"/>
      <c r="Q20" s="1289"/>
      <c r="R20" s="1289"/>
      <c r="S20" s="496"/>
      <c r="T20" s="1286"/>
      <c r="U20" s="1286"/>
      <c r="V20" s="1286"/>
      <c r="W20" s="1286"/>
      <c r="X20" s="1286"/>
      <c r="Y20" s="496"/>
      <c r="Z20" s="497"/>
    </row>
    <row r="21" spans="2:26" ht="20.100000000000001" customHeight="1">
      <c r="B21" s="495"/>
      <c r="C21" s="496"/>
      <c r="D21" s="1289"/>
      <c r="E21" s="1289"/>
      <c r="F21" s="1289"/>
      <c r="G21" s="1289"/>
      <c r="H21" s="1289"/>
      <c r="I21" s="1289"/>
      <c r="J21" s="1289"/>
      <c r="K21" s="1289"/>
      <c r="L21" s="1289"/>
      <c r="M21" s="1289"/>
      <c r="N21" s="1289"/>
      <c r="O21" s="1289"/>
      <c r="P21" s="1289"/>
      <c r="Q21" s="1289"/>
      <c r="R21" s="1289"/>
      <c r="S21" s="496"/>
      <c r="T21" s="1286"/>
      <c r="U21" s="1286"/>
      <c r="V21" s="1286"/>
      <c r="W21" s="1286"/>
      <c r="X21" s="1286"/>
      <c r="Y21" s="496"/>
      <c r="Z21" s="497"/>
    </row>
    <row r="22" spans="2:26" ht="15" customHeight="1">
      <c r="B22" s="495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496"/>
      <c r="T22" s="1286"/>
      <c r="U22" s="1286"/>
      <c r="V22" s="1286"/>
      <c r="W22" s="1286"/>
      <c r="X22" s="1286"/>
      <c r="Y22" s="496"/>
      <c r="Z22" s="497"/>
    </row>
    <row r="23" spans="2:26" ht="15" customHeight="1">
      <c r="B23" s="495"/>
      <c r="C23" s="496" t="s">
        <v>759</v>
      </c>
      <c r="D23" s="1289" t="s">
        <v>760</v>
      </c>
      <c r="E23" s="1289"/>
      <c r="F23" s="1289"/>
      <c r="G23" s="1289"/>
      <c r="H23" s="1289"/>
      <c r="I23" s="1289"/>
      <c r="J23" s="1289"/>
      <c r="K23" s="1289"/>
      <c r="L23" s="1289"/>
      <c r="M23" s="1289"/>
      <c r="N23" s="1289"/>
      <c r="O23" s="1289"/>
      <c r="P23" s="1289"/>
      <c r="Q23" s="1289"/>
      <c r="R23" s="1289"/>
      <c r="S23" s="496" t="s">
        <v>754</v>
      </c>
      <c r="T23" s="1290" t="s">
        <v>9</v>
      </c>
      <c r="U23" s="1290"/>
      <c r="V23" s="1290"/>
      <c r="W23" s="1290"/>
      <c r="X23" s="1290"/>
      <c r="Y23" s="496"/>
      <c r="Z23" s="497"/>
    </row>
    <row r="24" spans="2:26" ht="15" customHeight="1">
      <c r="B24" s="495"/>
      <c r="C24" s="496"/>
      <c r="D24" s="1289"/>
      <c r="E24" s="1289"/>
      <c r="F24" s="1289"/>
      <c r="G24" s="1289"/>
      <c r="H24" s="1289"/>
      <c r="I24" s="1289"/>
      <c r="J24" s="1289"/>
      <c r="K24" s="1289"/>
      <c r="L24" s="1289"/>
      <c r="M24" s="1289"/>
      <c r="N24" s="1289"/>
      <c r="O24" s="1289"/>
      <c r="P24" s="1289"/>
      <c r="Q24" s="1289"/>
      <c r="R24" s="1289"/>
      <c r="S24" s="496"/>
      <c r="T24" s="1291"/>
      <c r="U24" s="1291"/>
      <c r="V24" s="1291"/>
      <c r="W24" s="1291"/>
      <c r="X24" s="1291"/>
      <c r="Y24" s="496"/>
      <c r="Z24" s="497"/>
    </row>
    <row r="25" spans="2:26" ht="15" customHeight="1">
      <c r="B25" s="495"/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496"/>
      <c r="P25" s="496"/>
      <c r="Q25" s="496"/>
      <c r="R25" s="496"/>
      <c r="S25" s="496"/>
      <c r="T25" s="1291"/>
      <c r="U25" s="1291"/>
      <c r="V25" s="1291"/>
      <c r="W25" s="1291"/>
      <c r="X25" s="1291"/>
      <c r="Y25" s="496"/>
      <c r="Z25" s="497"/>
    </row>
    <row r="26" spans="2:26" ht="15" customHeight="1">
      <c r="B26" s="495">
        <v>2</v>
      </c>
      <c r="C26" s="496"/>
      <c r="D26" s="1289" t="s">
        <v>761</v>
      </c>
      <c r="E26" s="1289"/>
      <c r="F26" s="1289"/>
      <c r="G26" s="1289"/>
      <c r="H26" s="1289"/>
      <c r="I26" s="1289"/>
      <c r="J26" s="1289"/>
      <c r="K26" s="1289"/>
      <c r="L26" s="1289"/>
      <c r="M26" s="1289"/>
      <c r="N26" s="1289"/>
      <c r="O26" s="1289"/>
      <c r="P26" s="1289"/>
      <c r="Q26" s="1289"/>
      <c r="R26" s="1289"/>
      <c r="S26" s="496"/>
      <c r="T26" s="1292" t="s">
        <v>762</v>
      </c>
      <c r="U26" s="1292"/>
      <c r="V26" s="1292"/>
      <c r="W26" s="1292"/>
      <c r="X26" s="1292"/>
      <c r="Y26" s="496"/>
      <c r="Z26" s="497"/>
    </row>
    <row r="27" spans="2:26" ht="15" customHeight="1">
      <c r="B27" s="498"/>
      <c r="C27" s="496"/>
      <c r="D27" s="1289"/>
      <c r="E27" s="1289"/>
      <c r="F27" s="1289"/>
      <c r="G27" s="1289"/>
      <c r="H27" s="1289"/>
      <c r="I27" s="1289"/>
      <c r="J27" s="1289"/>
      <c r="K27" s="1289"/>
      <c r="L27" s="1289"/>
      <c r="M27" s="1289"/>
      <c r="N27" s="1289"/>
      <c r="O27" s="1289"/>
      <c r="P27" s="1289"/>
      <c r="Q27" s="1289"/>
      <c r="R27" s="1289"/>
      <c r="S27" s="496"/>
      <c r="T27" s="1293"/>
      <c r="U27" s="1293"/>
      <c r="V27" s="1293"/>
      <c r="W27" s="1293"/>
      <c r="X27" s="1293"/>
      <c r="Y27" s="496"/>
      <c r="Z27" s="497"/>
    </row>
    <row r="28" spans="2:26" ht="15" customHeight="1">
      <c r="B28" s="498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6"/>
      <c r="Y28" s="496"/>
      <c r="Z28" s="497"/>
    </row>
    <row r="29" spans="2:26" ht="15" customHeight="1">
      <c r="B29" s="498"/>
      <c r="C29" s="496"/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1316"/>
      <c r="T29" s="1316"/>
      <c r="U29" s="1316"/>
      <c r="V29" s="1316"/>
      <c r="W29" s="1316"/>
      <c r="X29" s="1316"/>
      <c r="Y29" s="496"/>
      <c r="Z29" s="497"/>
    </row>
    <row r="30" spans="2:26" ht="15" customHeight="1">
      <c r="B30" s="498"/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1321" t="s">
        <v>763</v>
      </c>
      <c r="Q30" s="1321"/>
      <c r="R30" s="1321"/>
      <c r="S30" s="1321"/>
      <c r="T30" s="1321"/>
      <c r="U30" s="1321"/>
      <c r="V30" s="1321"/>
      <c r="W30" s="1321"/>
      <c r="X30" s="1321"/>
      <c r="Y30" s="496"/>
      <c r="Z30" s="497"/>
    </row>
    <row r="31" spans="2:26" ht="18" customHeight="1">
      <c r="B31" s="1327" t="s">
        <v>635</v>
      </c>
      <c r="C31" s="1328"/>
      <c r="D31" s="1328"/>
      <c r="E31" s="1328"/>
      <c r="F31" s="1328"/>
      <c r="G31" s="1328"/>
      <c r="H31" s="1328"/>
      <c r="I31" s="1328"/>
      <c r="J31" s="1328"/>
      <c r="K31" s="1328"/>
      <c r="L31" s="1328"/>
      <c r="M31" s="1328"/>
      <c r="N31" s="1328"/>
      <c r="O31" s="1328"/>
      <c r="P31" s="1328"/>
      <c r="Q31" s="1328"/>
      <c r="R31" s="1328"/>
      <c r="S31" s="1328"/>
      <c r="T31" s="1328"/>
      <c r="U31" s="1328"/>
      <c r="V31" s="1328"/>
      <c r="W31" s="1328"/>
      <c r="X31" s="1328"/>
      <c r="Y31" s="1328"/>
      <c r="Z31" s="1329"/>
    </row>
    <row r="32" spans="2:26" ht="15.75" customHeight="1">
      <c r="B32" s="498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7"/>
    </row>
    <row r="33" spans="2:26" ht="15" customHeight="1">
      <c r="B33" s="498"/>
      <c r="C33" s="1330" t="str">
        <f>CONCATENATE("  I  Sri. / Smt.  ",UPPER(DATA!O25),"  do hereby declare that what is stated above is true to the best of my knowledge and belief.  ")</f>
        <v xml:space="preserve">  I  Sri. / Smt.    do hereby declare that what is stated above is true to the best of my knowledge and belief.  </v>
      </c>
      <c r="D33" s="1330"/>
      <c r="E33" s="1330"/>
      <c r="F33" s="1330"/>
      <c r="G33" s="1330"/>
      <c r="H33" s="1330"/>
      <c r="I33" s="1330"/>
      <c r="J33" s="1330"/>
      <c r="K33" s="1330"/>
      <c r="L33" s="1330"/>
      <c r="M33" s="1330"/>
      <c r="N33" s="1330"/>
      <c r="O33" s="1330"/>
      <c r="P33" s="1330"/>
      <c r="Q33" s="1330"/>
      <c r="R33" s="1330"/>
      <c r="S33" s="1330"/>
      <c r="T33" s="1330"/>
      <c r="U33" s="1330"/>
      <c r="V33" s="1330"/>
      <c r="W33" s="1330"/>
      <c r="X33" s="1330"/>
      <c r="Y33" s="1330"/>
      <c r="Z33" s="497"/>
    </row>
    <row r="34" spans="2:26" ht="15" customHeight="1">
      <c r="B34" s="498"/>
      <c r="C34" s="1330"/>
      <c r="D34" s="1330"/>
      <c r="E34" s="1330"/>
      <c r="F34" s="1330"/>
      <c r="G34" s="1330"/>
      <c r="H34" s="1330"/>
      <c r="I34" s="1330"/>
      <c r="J34" s="1330"/>
      <c r="K34" s="1330"/>
      <c r="L34" s="1330"/>
      <c r="M34" s="1330"/>
      <c r="N34" s="1330"/>
      <c r="O34" s="1330"/>
      <c r="P34" s="1330"/>
      <c r="Q34" s="1330"/>
      <c r="R34" s="1330"/>
      <c r="S34" s="1330"/>
      <c r="T34" s="1330"/>
      <c r="U34" s="1330"/>
      <c r="V34" s="1330"/>
      <c r="W34" s="1330"/>
      <c r="X34" s="1330"/>
      <c r="Y34" s="1330"/>
      <c r="Z34" s="497"/>
    </row>
    <row r="35" spans="2:26" ht="15" customHeight="1">
      <c r="B35" s="498"/>
      <c r="C35" s="499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  <c r="T35" s="499"/>
      <c r="U35" s="499"/>
      <c r="V35" s="499"/>
      <c r="W35" s="499"/>
      <c r="X35" s="499"/>
      <c r="Y35" s="499"/>
      <c r="Z35" s="497"/>
    </row>
    <row r="36" spans="2:26" ht="15" customHeight="1">
      <c r="B36" s="1320" t="s">
        <v>764</v>
      </c>
      <c r="C36" s="1321"/>
      <c r="D36" s="1321"/>
      <c r="E36" s="1321"/>
      <c r="F36" s="1331">
        <f ca="1">TODAY()</f>
        <v>43612</v>
      </c>
      <c r="G36" s="1331"/>
      <c r="H36" s="1331"/>
      <c r="I36" s="1331"/>
      <c r="J36" s="1331"/>
      <c r="K36" s="1331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6"/>
      <c r="Y36" s="496"/>
      <c r="Z36" s="497"/>
    </row>
    <row r="37" spans="2:26" ht="15" customHeight="1">
      <c r="B37" s="491"/>
      <c r="C37" s="492"/>
      <c r="D37" s="492"/>
      <c r="E37" s="492"/>
      <c r="L37" s="496"/>
      <c r="M37" s="496"/>
      <c r="N37" s="496"/>
      <c r="O37" s="496"/>
      <c r="P37" s="496"/>
      <c r="Q37" s="496"/>
      <c r="R37" s="496"/>
      <c r="S37" s="496"/>
      <c r="T37" s="496"/>
      <c r="U37" s="496"/>
      <c r="V37" s="496"/>
      <c r="W37" s="496"/>
      <c r="X37" s="496"/>
      <c r="Y37" s="496"/>
      <c r="Z37" s="497"/>
    </row>
    <row r="38" spans="2:26" ht="15" customHeight="1">
      <c r="B38" s="498"/>
      <c r="C38" s="496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U38" s="496"/>
      <c r="V38" s="496"/>
      <c r="W38" s="496"/>
      <c r="X38" s="496"/>
      <c r="Y38" s="496"/>
      <c r="Z38" s="497"/>
    </row>
    <row r="39" spans="2:26" ht="15" customHeight="1">
      <c r="B39" s="491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496"/>
      <c r="O39" s="496"/>
      <c r="P39" s="496"/>
      <c r="Q39" s="496"/>
      <c r="R39" s="496"/>
      <c r="S39" s="496"/>
      <c r="T39" s="496"/>
      <c r="U39" s="496"/>
      <c r="V39" s="496"/>
      <c r="W39" s="496"/>
      <c r="X39" s="496"/>
      <c r="Y39" s="496"/>
      <c r="Z39" s="497"/>
    </row>
    <row r="40" spans="2:26" ht="20.100000000000001" customHeight="1">
      <c r="B40" s="1318" t="str">
        <f>UPPER(CONCATENATE("PLACE  :   ",DATA!O37," ; ",DATA!O33,"."))</f>
        <v>PLACE  :   MANDAL PARISHAD ; DORNALA.</v>
      </c>
      <c r="C40" s="1319"/>
      <c r="D40" s="1319"/>
      <c r="E40" s="1319"/>
      <c r="F40" s="1319"/>
      <c r="G40" s="1319"/>
      <c r="H40" s="1319"/>
      <c r="I40" s="1319"/>
      <c r="J40" s="1319"/>
      <c r="K40" s="1319"/>
      <c r="L40" s="1319"/>
      <c r="M40" s="1319"/>
      <c r="N40" s="1319"/>
      <c r="O40" s="1319"/>
      <c r="P40" s="1319"/>
      <c r="Q40" s="496"/>
      <c r="R40" s="496"/>
      <c r="S40" s="1317"/>
      <c r="T40" s="1317"/>
      <c r="U40" s="1317"/>
      <c r="V40" s="1317"/>
      <c r="W40" s="1317"/>
      <c r="X40" s="1317"/>
      <c r="Y40" s="496"/>
      <c r="Z40" s="497"/>
    </row>
    <row r="41" spans="2:26" ht="20.100000000000001" customHeight="1">
      <c r="B41" s="1318" t="str">
        <f ca="1">CONCATENATE("DATE    :  ",UPPER(TEXT(F36,"dd-mmm-yyyy")))</f>
        <v>DATE    :  27-MAY-2019</v>
      </c>
      <c r="C41" s="1319"/>
      <c r="D41" s="1319"/>
      <c r="E41" s="1319"/>
      <c r="F41" s="1319"/>
      <c r="G41" s="1319"/>
      <c r="H41" s="1319"/>
      <c r="I41" s="1319"/>
      <c r="J41" s="1319"/>
      <c r="K41" s="1319"/>
      <c r="L41" s="1319"/>
      <c r="M41" s="1319"/>
      <c r="N41" s="1319"/>
      <c r="O41" s="1319"/>
      <c r="P41" s="1319"/>
      <c r="Q41" s="492"/>
      <c r="R41" s="492"/>
      <c r="S41" s="492" t="s">
        <v>763</v>
      </c>
      <c r="T41" s="492"/>
      <c r="U41" s="492"/>
      <c r="V41" s="492"/>
      <c r="W41" s="492"/>
      <c r="X41" s="492"/>
      <c r="Y41" s="496"/>
      <c r="Z41" s="497"/>
    </row>
    <row r="42" spans="2:26" ht="15" customHeight="1">
      <c r="B42" s="500"/>
      <c r="C42" s="501"/>
      <c r="D42" s="501"/>
      <c r="E42" s="501"/>
      <c r="F42" s="502"/>
      <c r="G42" s="502"/>
      <c r="H42" s="502"/>
      <c r="I42" s="502"/>
      <c r="J42" s="496"/>
      <c r="K42" s="496"/>
      <c r="L42" s="496"/>
      <c r="M42" s="496"/>
      <c r="N42" s="496"/>
      <c r="O42" s="496"/>
      <c r="P42" s="503"/>
      <c r="Q42" s="503"/>
      <c r="R42" s="503"/>
      <c r="S42" s="503"/>
      <c r="T42" s="503"/>
      <c r="U42" s="503"/>
      <c r="V42" s="503"/>
      <c r="W42" s="503"/>
      <c r="X42" s="503"/>
      <c r="Y42" s="496"/>
      <c r="Z42" s="497"/>
    </row>
    <row r="43" spans="2:26" ht="15" customHeight="1">
      <c r="B43" s="500"/>
      <c r="C43" s="501"/>
      <c r="D43" s="501"/>
      <c r="E43" s="501"/>
      <c r="F43" s="502"/>
      <c r="G43" s="502"/>
      <c r="H43" s="502"/>
      <c r="I43" s="502"/>
      <c r="J43" s="496"/>
      <c r="K43" s="496"/>
      <c r="L43" s="496"/>
      <c r="M43" s="496"/>
      <c r="N43" s="496"/>
      <c r="O43" s="496"/>
      <c r="P43" s="503"/>
      <c r="Q43" s="503"/>
      <c r="R43" s="503"/>
      <c r="S43" s="503"/>
      <c r="T43" s="503"/>
      <c r="U43" s="503"/>
      <c r="V43" s="503"/>
      <c r="W43" s="503"/>
      <c r="X43" s="503"/>
      <c r="Y43" s="496"/>
      <c r="Z43" s="497"/>
    </row>
    <row r="44" spans="2:26" ht="15.75" customHeight="1" thickBot="1">
      <c r="B44" s="504"/>
      <c r="C44" s="505"/>
      <c r="D44" s="505"/>
      <c r="E44" s="505"/>
      <c r="F44" s="505"/>
      <c r="G44" s="505"/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  <c r="W44" s="505"/>
      <c r="X44" s="505"/>
      <c r="Y44" s="505"/>
      <c r="Z44" s="506"/>
    </row>
    <row r="45" spans="2:26" ht="16.5" thickTop="1" thickBot="1">
      <c r="B45" s="1315" t="s">
        <v>268</v>
      </c>
      <c r="C45" s="1315"/>
      <c r="D45" s="1315"/>
      <c r="E45" s="1315"/>
      <c r="F45" s="1315"/>
      <c r="G45" s="1315"/>
      <c r="H45" s="1315"/>
      <c r="I45" s="1315"/>
      <c r="J45" s="1315"/>
      <c r="K45" s="1315"/>
      <c r="L45" s="1315"/>
      <c r="M45" s="1315"/>
      <c r="N45" s="1315"/>
      <c r="O45" s="1315"/>
      <c r="P45" s="1315"/>
      <c r="Q45" s="1315"/>
      <c r="R45" s="1315"/>
      <c r="S45" s="1315"/>
      <c r="T45" s="1315"/>
      <c r="U45" s="1315"/>
      <c r="V45" s="1315"/>
      <c r="W45" s="1315"/>
      <c r="X45" s="1315"/>
      <c r="Y45" s="1315"/>
      <c r="Z45" s="1315"/>
    </row>
    <row r="46" spans="2:26" ht="8.1" customHeight="1" thickBot="1"/>
    <row r="47" spans="2:26" ht="18.75" thickTop="1">
      <c r="B47" s="1324" t="s">
        <v>762</v>
      </c>
      <c r="C47" s="1325"/>
      <c r="D47" s="1325"/>
      <c r="E47" s="1325"/>
      <c r="F47" s="1325"/>
      <c r="G47" s="1325"/>
      <c r="H47" s="1325"/>
      <c r="I47" s="1325"/>
      <c r="J47" s="1325"/>
      <c r="K47" s="1325"/>
      <c r="L47" s="1325"/>
      <c r="M47" s="1325"/>
      <c r="N47" s="1325"/>
      <c r="O47" s="1325"/>
      <c r="P47" s="1325"/>
      <c r="Q47" s="1325"/>
      <c r="R47" s="1325"/>
      <c r="S47" s="1325"/>
      <c r="T47" s="1325"/>
      <c r="U47" s="1325"/>
      <c r="V47" s="1325"/>
      <c r="W47" s="1325"/>
      <c r="X47" s="1325"/>
      <c r="Y47" s="1325"/>
      <c r="Z47" s="1326"/>
    </row>
    <row r="48" spans="2:26">
      <c r="B48" s="1294" t="s">
        <v>765</v>
      </c>
      <c r="C48" s="1295"/>
      <c r="D48" s="1295"/>
      <c r="E48" s="1295"/>
      <c r="F48" s="1295"/>
      <c r="G48" s="1295"/>
      <c r="H48" s="1295"/>
      <c r="I48" s="1295"/>
      <c r="J48" s="1295"/>
      <c r="K48" s="1295"/>
      <c r="L48" s="1295"/>
      <c r="M48" s="1295"/>
      <c r="N48" s="1295"/>
      <c r="O48" s="1295"/>
      <c r="P48" s="1295"/>
      <c r="Q48" s="1295"/>
      <c r="R48" s="1295"/>
      <c r="S48" s="1295"/>
      <c r="T48" s="1295"/>
      <c r="U48" s="1295"/>
      <c r="V48" s="1295"/>
      <c r="W48" s="1295"/>
      <c r="X48" s="1295"/>
      <c r="Y48" s="1295"/>
      <c r="Z48" s="1296"/>
    </row>
    <row r="49" spans="2:26">
      <c r="B49" s="1297" t="s">
        <v>766</v>
      </c>
      <c r="C49" s="1298"/>
      <c r="D49" s="1298"/>
      <c r="E49" s="1298"/>
      <c r="F49" s="1298"/>
      <c r="G49" s="1298"/>
      <c r="H49" s="1298"/>
      <c r="I49" s="1298"/>
      <c r="J49" s="1298"/>
      <c r="K49" s="1298"/>
      <c r="L49" s="1298"/>
      <c r="M49" s="1298"/>
      <c r="N49" s="1298"/>
      <c r="O49" s="1298"/>
      <c r="P49" s="1298"/>
      <c r="Q49" s="1298"/>
      <c r="R49" s="1298"/>
      <c r="S49" s="1298"/>
      <c r="T49" s="1298"/>
      <c r="U49" s="1298"/>
      <c r="V49" s="1298"/>
      <c r="W49" s="1298"/>
      <c r="X49" s="1298"/>
      <c r="Y49" s="1298"/>
      <c r="Z49" s="1299"/>
    </row>
    <row r="50" spans="2:26" ht="17.45" customHeight="1">
      <c r="B50" s="523">
        <v>1</v>
      </c>
      <c r="C50" s="1288" t="s">
        <v>785</v>
      </c>
      <c r="D50" s="1288"/>
      <c r="E50" s="1288"/>
      <c r="F50" s="1288"/>
      <c r="G50" s="1288"/>
      <c r="H50" s="1288"/>
      <c r="I50" s="1288"/>
      <c r="J50" s="1288"/>
      <c r="K50" s="1288"/>
      <c r="L50" s="1288"/>
      <c r="M50" s="1288"/>
      <c r="N50" s="1288"/>
      <c r="O50" s="1288"/>
      <c r="P50" s="1288"/>
      <c r="Q50" s="1288"/>
      <c r="R50" s="1288"/>
      <c r="S50" s="1288"/>
      <c r="T50" s="521" t="s">
        <v>754</v>
      </c>
      <c r="U50" s="1287">
        <f>RELIEF!AC6</f>
        <v>423073</v>
      </c>
      <c r="V50" s="1287"/>
      <c r="W50" s="1287"/>
      <c r="X50" s="1287"/>
      <c r="Y50" s="1287"/>
      <c r="Z50" s="507"/>
    </row>
    <row r="51" spans="2:26" ht="17.45" customHeight="1">
      <c r="B51" s="524">
        <v>2</v>
      </c>
      <c r="C51" s="1282" t="s">
        <v>767</v>
      </c>
      <c r="D51" s="1282"/>
      <c r="E51" s="1282"/>
      <c r="F51" s="1282"/>
      <c r="G51" s="1282"/>
      <c r="H51" s="1282"/>
      <c r="I51" s="1282"/>
      <c r="J51" s="1282"/>
      <c r="K51" s="1282"/>
      <c r="L51" s="1282"/>
      <c r="M51" s="1282"/>
      <c r="N51" s="1282"/>
      <c r="O51" s="1282"/>
      <c r="P51" s="1282"/>
      <c r="Q51" s="1282"/>
      <c r="R51" s="1282"/>
      <c r="S51" s="1282"/>
      <c r="T51" s="522" t="s">
        <v>754</v>
      </c>
      <c r="U51" s="1284">
        <f>RELIEF!AC7</f>
        <v>88697</v>
      </c>
      <c r="V51" s="1284"/>
      <c r="W51" s="1284"/>
      <c r="X51" s="1284"/>
      <c r="Y51" s="1284"/>
      <c r="Z51" s="508"/>
    </row>
    <row r="52" spans="2:26" ht="17.45" customHeight="1">
      <c r="B52" s="524">
        <v>3</v>
      </c>
      <c r="C52" s="1282" t="s">
        <v>768</v>
      </c>
      <c r="D52" s="1282"/>
      <c r="E52" s="1282"/>
      <c r="F52" s="1282"/>
      <c r="G52" s="1282"/>
      <c r="H52" s="1282"/>
      <c r="I52" s="1282"/>
      <c r="J52" s="1282"/>
      <c r="K52" s="1282"/>
      <c r="L52" s="1282"/>
      <c r="M52" s="1282"/>
      <c r="N52" s="1282"/>
      <c r="O52" s="1282"/>
      <c r="P52" s="1282"/>
      <c r="Q52" s="1282"/>
      <c r="R52" s="1282"/>
      <c r="S52" s="1282"/>
      <c r="T52" s="522" t="s">
        <v>754</v>
      </c>
      <c r="U52" s="1284">
        <f>SUM(U50,U51)</f>
        <v>511770</v>
      </c>
      <c r="V52" s="1284"/>
      <c r="W52" s="1284"/>
      <c r="X52" s="1284"/>
      <c r="Y52" s="1284"/>
      <c r="Z52" s="508"/>
    </row>
    <row r="53" spans="2:26" ht="17.45" customHeight="1">
      <c r="B53" s="524">
        <v>4</v>
      </c>
      <c r="C53" s="1282" t="s">
        <v>769</v>
      </c>
      <c r="D53" s="1282"/>
      <c r="E53" s="1282"/>
      <c r="F53" s="1282"/>
      <c r="G53" s="1282"/>
      <c r="H53" s="1282"/>
      <c r="I53" s="1282"/>
      <c r="J53" s="1282"/>
      <c r="K53" s="1282"/>
      <c r="L53" s="1282"/>
      <c r="M53" s="1282"/>
      <c r="N53" s="1282"/>
      <c r="O53" s="1282"/>
      <c r="P53" s="1282"/>
      <c r="Q53" s="1282"/>
      <c r="R53" s="1282"/>
      <c r="S53" s="1282"/>
      <c r="T53" s="522" t="s">
        <v>754</v>
      </c>
      <c r="U53" s="1284">
        <f>RELIEF!AC17</f>
        <v>15448</v>
      </c>
      <c r="V53" s="1284"/>
      <c r="W53" s="1284"/>
      <c r="X53" s="1284"/>
      <c r="Y53" s="1284"/>
      <c r="Z53" s="508"/>
    </row>
    <row r="54" spans="2:26" ht="17.45" customHeight="1">
      <c r="B54" s="524">
        <v>5</v>
      </c>
      <c r="C54" s="1282" t="s">
        <v>770</v>
      </c>
      <c r="D54" s="1282"/>
      <c r="E54" s="1282"/>
      <c r="F54" s="1282"/>
      <c r="G54" s="1282"/>
      <c r="H54" s="1282"/>
      <c r="I54" s="1282"/>
      <c r="J54" s="1282"/>
      <c r="K54" s="1282"/>
      <c r="L54" s="1282"/>
      <c r="M54" s="1282"/>
      <c r="N54" s="1282"/>
      <c r="O54" s="1282"/>
      <c r="P54" s="1282"/>
      <c r="Q54" s="1282"/>
      <c r="R54" s="1282"/>
      <c r="S54" s="1282"/>
      <c r="T54" s="522" t="s">
        <v>754</v>
      </c>
      <c r="U54" s="1284">
        <f>RELIEF!AE17</f>
        <v>9000</v>
      </c>
      <c r="V54" s="1284"/>
      <c r="W54" s="1284"/>
      <c r="X54" s="1284"/>
      <c r="Y54" s="1284"/>
      <c r="Z54" s="508"/>
    </row>
    <row r="55" spans="2:26" ht="17.45" customHeight="1">
      <c r="B55" s="524">
        <v>6</v>
      </c>
      <c r="C55" s="1282" t="s">
        <v>771</v>
      </c>
      <c r="D55" s="1282"/>
      <c r="E55" s="1282"/>
      <c r="F55" s="1282"/>
      <c r="G55" s="1282"/>
      <c r="H55" s="1282"/>
      <c r="I55" s="1282"/>
      <c r="J55" s="1282"/>
      <c r="K55" s="1282"/>
      <c r="L55" s="1282"/>
      <c r="M55" s="1282"/>
      <c r="N55" s="1282"/>
      <c r="O55" s="1282"/>
      <c r="P55" s="1282"/>
      <c r="Q55" s="1282"/>
      <c r="R55" s="1282"/>
      <c r="S55" s="1282"/>
      <c r="T55" s="522" t="s">
        <v>754</v>
      </c>
      <c r="U55" s="1283">
        <f>U53-U54</f>
        <v>6448</v>
      </c>
      <c r="V55" s="1283"/>
      <c r="W55" s="1283"/>
      <c r="X55" s="1283"/>
      <c r="Y55" s="1283"/>
      <c r="Z55" s="508"/>
    </row>
    <row r="56" spans="2:26" ht="17.45" customHeight="1">
      <c r="B56" s="524"/>
      <c r="C56" s="1282" t="s">
        <v>772</v>
      </c>
      <c r="D56" s="1282"/>
      <c r="E56" s="1282"/>
      <c r="F56" s="1282"/>
      <c r="G56" s="1282"/>
      <c r="H56" s="1282"/>
      <c r="I56" s="1282"/>
      <c r="J56" s="1282"/>
      <c r="K56" s="1282"/>
      <c r="L56" s="1282"/>
      <c r="M56" s="1282"/>
      <c r="N56" s="1282"/>
      <c r="O56" s="1282"/>
      <c r="P56" s="1282"/>
      <c r="Q56" s="1282"/>
      <c r="R56" s="1282"/>
      <c r="S56" s="1282"/>
      <c r="T56" s="522"/>
      <c r="U56" s="1284"/>
      <c r="V56" s="1284"/>
      <c r="W56" s="1284"/>
      <c r="X56" s="1284"/>
      <c r="Y56" s="1284"/>
      <c r="Z56" s="508"/>
    </row>
    <row r="57" spans="2:26" ht="17.45" customHeight="1">
      <c r="B57" s="524">
        <v>7</v>
      </c>
      <c r="C57" s="1282" t="s">
        <v>773</v>
      </c>
      <c r="D57" s="1282"/>
      <c r="E57" s="1282"/>
      <c r="F57" s="1282"/>
      <c r="G57" s="1282"/>
      <c r="H57" s="1282"/>
      <c r="I57" s="1282"/>
      <c r="J57" s="1282"/>
      <c r="K57" s="1282"/>
      <c r="L57" s="1282"/>
      <c r="M57" s="1282"/>
      <c r="N57" s="1282"/>
      <c r="O57" s="1282"/>
      <c r="P57" s="1282"/>
      <c r="Q57" s="1282"/>
      <c r="R57" s="1282"/>
      <c r="S57" s="1282"/>
      <c r="T57" s="522" t="s">
        <v>754</v>
      </c>
      <c r="U57" s="1284">
        <f>RELIEF!AK18+RELIEF!AE34+RELIEF!AK34</f>
        <v>10223</v>
      </c>
      <c r="V57" s="1284"/>
      <c r="W57" s="1284"/>
      <c r="X57" s="1284"/>
      <c r="Y57" s="1284"/>
      <c r="Z57" s="508"/>
    </row>
    <row r="58" spans="2:26" ht="17.45" customHeight="1">
      <c r="B58" s="524"/>
      <c r="C58" s="1282" t="s">
        <v>774</v>
      </c>
      <c r="D58" s="1282"/>
      <c r="E58" s="1282"/>
      <c r="F58" s="1282"/>
      <c r="G58" s="1282"/>
      <c r="H58" s="1282"/>
      <c r="I58" s="1282"/>
      <c r="J58" s="1282"/>
      <c r="K58" s="1282"/>
      <c r="L58" s="1282"/>
      <c r="M58" s="1282"/>
      <c r="N58" s="1282"/>
      <c r="O58" s="1282"/>
      <c r="P58" s="1282"/>
      <c r="Q58" s="1282"/>
      <c r="R58" s="1282"/>
      <c r="S58" s="1282"/>
      <c r="T58" s="522"/>
      <c r="U58" s="1284"/>
      <c r="V58" s="1284"/>
      <c r="W58" s="1284"/>
      <c r="X58" s="1284"/>
      <c r="Y58" s="1284"/>
      <c r="Z58" s="508"/>
    </row>
    <row r="59" spans="2:26" ht="17.45" customHeight="1">
      <c r="B59" s="524">
        <v>8</v>
      </c>
      <c r="C59" s="1282" t="s">
        <v>775</v>
      </c>
      <c r="D59" s="1282"/>
      <c r="E59" s="1282"/>
      <c r="F59" s="1282"/>
      <c r="G59" s="1282"/>
      <c r="H59" s="1282"/>
      <c r="I59" s="1282"/>
      <c r="J59" s="1282"/>
      <c r="K59" s="1282"/>
      <c r="L59" s="1282"/>
      <c r="M59" s="1282"/>
      <c r="N59" s="1282"/>
      <c r="O59" s="1282"/>
      <c r="P59" s="1282"/>
      <c r="Q59" s="1282"/>
      <c r="R59" s="1282"/>
      <c r="S59" s="1282"/>
      <c r="T59" s="522" t="s">
        <v>754</v>
      </c>
      <c r="U59" s="1284">
        <f>U55-U57</f>
        <v>-3775</v>
      </c>
      <c r="V59" s="1284"/>
      <c r="W59" s="1284"/>
      <c r="X59" s="1284"/>
      <c r="Y59" s="1284"/>
      <c r="Z59" s="508"/>
    </row>
    <row r="60" spans="2:26" ht="17.45" customHeight="1">
      <c r="B60" s="509"/>
      <c r="C60" s="510"/>
      <c r="D60" s="510"/>
      <c r="E60" s="510"/>
      <c r="F60" s="510"/>
      <c r="G60" s="510"/>
      <c r="H60" s="510"/>
      <c r="I60" s="510"/>
      <c r="J60" s="510"/>
      <c r="K60" s="510"/>
      <c r="L60" s="510"/>
      <c r="M60" s="510"/>
      <c r="N60" s="510"/>
      <c r="O60" s="510"/>
      <c r="P60" s="510"/>
      <c r="Q60" s="510"/>
      <c r="R60" s="510"/>
      <c r="S60" s="510"/>
      <c r="T60" s="510"/>
      <c r="U60" s="510"/>
      <c r="V60" s="510"/>
      <c r="W60" s="510"/>
      <c r="X60" s="510"/>
      <c r="Y60" s="510"/>
      <c r="Z60" s="511"/>
    </row>
    <row r="61" spans="2:26">
      <c r="B61" s="512"/>
      <c r="C61" s="513"/>
      <c r="D61" s="513"/>
      <c r="E61" s="513"/>
      <c r="F61" s="513"/>
      <c r="G61" s="513"/>
      <c r="H61" s="513"/>
      <c r="I61" s="513"/>
      <c r="J61" s="513"/>
      <c r="K61" s="513"/>
      <c r="L61" s="513"/>
      <c r="M61" s="513"/>
      <c r="N61" s="513"/>
      <c r="O61" s="513"/>
      <c r="P61" s="513"/>
      <c r="Q61" s="513"/>
      <c r="R61" s="513"/>
      <c r="S61" s="513"/>
      <c r="T61" s="513"/>
      <c r="U61" s="513"/>
      <c r="V61" s="513"/>
      <c r="W61" s="513"/>
      <c r="X61" s="513"/>
      <c r="Y61" s="513"/>
      <c r="Z61" s="514"/>
    </row>
    <row r="62" spans="2:26">
      <c r="B62" s="512"/>
      <c r="C62" s="513"/>
      <c r="D62" s="513"/>
      <c r="E62" s="513"/>
      <c r="F62" s="513"/>
      <c r="G62" s="513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513"/>
      <c r="S62" s="513"/>
      <c r="T62" s="513"/>
      <c r="U62" s="513"/>
      <c r="V62" s="513"/>
      <c r="W62" s="513"/>
      <c r="X62" s="513"/>
      <c r="Y62" s="513"/>
      <c r="Z62" s="514"/>
    </row>
    <row r="63" spans="2:26" ht="20.25">
      <c r="B63" s="1276" t="s">
        <v>776</v>
      </c>
      <c r="C63" s="1277"/>
      <c r="D63" s="1277"/>
      <c r="E63" s="1277"/>
      <c r="F63" s="1277"/>
      <c r="G63" s="1277"/>
      <c r="H63" s="1277"/>
      <c r="I63" s="1277"/>
      <c r="J63" s="1277"/>
      <c r="K63" s="1277"/>
      <c r="L63" s="1277"/>
      <c r="M63" s="1277"/>
      <c r="N63" s="1277"/>
      <c r="O63" s="1277"/>
      <c r="P63" s="1277"/>
      <c r="Q63" s="1277"/>
      <c r="R63" s="1277"/>
      <c r="S63" s="1277"/>
      <c r="T63" s="1277"/>
      <c r="U63" s="1277"/>
      <c r="V63" s="1277"/>
      <c r="W63" s="1277"/>
      <c r="X63" s="1277"/>
      <c r="Y63" s="1277"/>
      <c r="Z63" s="1278"/>
    </row>
    <row r="64" spans="2:26">
      <c r="B64" s="1279" t="s">
        <v>777</v>
      </c>
      <c r="C64" s="1280"/>
      <c r="D64" s="1280"/>
      <c r="E64" s="1280"/>
      <c r="F64" s="1280"/>
      <c r="G64" s="1280"/>
      <c r="H64" s="1280"/>
      <c r="I64" s="1280"/>
      <c r="J64" s="1280"/>
      <c r="K64" s="1280"/>
      <c r="L64" s="1280"/>
      <c r="M64" s="1280"/>
      <c r="N64" s="1280"/>
      <c r="O64" s="1280"/>
      <c r="P64" s="1280"/>
      <c r="Q64" s="1280"/>
      <c r="R64" s="1280"/>
      <c r="S64" s="1280"/>
      <c r="T64" s="1280"/>
      <c r="U64" s="1280"/>
      <c r="V64" s="1280"/>
      <c r="W64" s="1280"/>
      <c r="X64" s="1280"/>
      <c r="Y64" s="1280"/>
      <c r="Z64" s="1281"/>
    </row>
    <row r="65" spans="2:26" s="515" customFormat="1" ht="20.100000000000001" customHeight="1">
      <c r="B65" s="1272" t="s">
        <v>788</v>
      </c>
      <c r="C65" s="1273"/>
      <c r="D65" s="1274"/>
      <c r="E65" s="1273" t="s">
        <v>778</v>
      </c>
      <c r="F65" s="1273"/>
      <c r="G65" s="1273"/>
      <c r="H65" s="1273"/>
      <c r="I65" s="1275" t="s">
        <v>779</v>
      </c>
      <c r="J65" s="1273"/>
      <c r="K65" s="1273"/>
      <c r="L65" s="1274"/>
      <c r="M65" s="1273" t="s">
        <v>780</v>
      </c>
      <c r="N65" s="1273"/>
      <c r="O65" s="1273"/>
      <c r="P65" s="1273"/>
      <c r="Q65" s="1273" t="s">
        <v>787</v>
      </c>
      <c r="R65" s="1273"/>
      <c r="S65" s="1273"/>
      <c r="T65" s="1273" t="s">
        <v>786</v>
      </c>
      <c r="U65" s="1273"/>
      <c r="V65" s="1273"/>
      <c r="W65" s="1275" t="s">
        <v>789</v>
      </c>
      <c r="X65" s="1273"/>
      <c r="Y65" s="1273"/>
      <c r="Z65" s="1285"/>
    </row>
    <row r="66" spans="2:26" s="515" customFormat="1" ht="20.100000000000001" customHeight="1">
      <c r="B66" s="1272"/>
      <c r="C66" s="1273"/>
      <c r="D66" s="1274"/>
      <c r="E66" s="1273"/>
      <c r="F66" s="1273"/>
      <c r="G66" s="1273"/>
      <c r="H66" s="1273"/>
      <c r="I66" s="1275"/>
      <c r="J66" s="1273"/>
      <c r="K66" s="1273"/>
      <c r="L66" s="1274"/>
      <c r="M66" s="1273"/>
      <c r="N66" s="1273"/>
      <c r="O66" s="1273"/>
      <c r="P66" s="1273"/>
      <c r="Q66" s="1273"/>
      <c r="R66" s="1273"/>
      <c r="S66" s="1273"/>
      <c r="T66" s="1273"/>
      <c r="U66" s="1273"/>
      <c r="V66" s="1273"/>
      <c r="W66" s="1275"/>
      <c r="X66" s="1273"/>
      <c r="Y66" s="1273"/>
      <c r="Z66" s="1285"/>
    </row>
    <row r="67" spans="2:26" s="515" customFormat="1" ht="20.100000000000001" customHeight="1">
      <c r="B67" s="1272"/>
      <c r="C67" s="1273"/>
      <c r="D67" s="1274"/>
      <c r="E67" s="1273"/>
      <c r="F67" s="1273"/>
      <c r="G67" s="1273"/>
      <c r="H67" s="1273"/>
      <c r="I67" s="1275"/>
      <c r="J67" s="1273"/>
      <c r="K67" s="1273"/>
      <c r="L67" s="1274"/>
      <c r="M67" s="1273"/>
      <c r="N67" s="1273"/>
      <c r="O67" s="1273"/>
      <c r="P67" s="1273"/>
      <c r="Q67" s="1273"/>
      <c r="R67" s="1273"/>
      <c r="S67" s="1273"/>
      <c r="T67" s="1273"/>
      <c r="U67" s="1273"/>
      <c r="V67" s="1273"/>
      <c r="W67" s="1275"/>
      <c r="X67" s="1273"/>
      <c r="Y67" s="1273"/>
      <c r="Z67" s="1285"/>
    </row>
    <row r="68" spans="2:26" s="515" customFormat="1" ht="20.100000000000001" customHeight="1">
      <c r="B68" s="1272"/>
      <c r="C68" s="1273"/>
      <c r="D68" s="1274"/>
      <c r="E68" s="1273"/>
      <c r="F68" s="1273"/>
      <c r="G68" s="1273"/>
      <c r="H68" s="1273"/>
      <c r="I68" s="1275"/>
      <c r="J68" s="1273"/>
      <c r="K68" s="1273"/>
      <c r="L68" s="1274"/>
      <c r="M68" s="1273"/>
      <c r="N68" s="1273"/>
      <c r="O68" s="1273"/>
      <c r="P68" s="1273"/>
      <c r="Q68" s="1273"/>
      <c r="R68" s="1273"/>
      <c r="S68" s="1273"/>
      <c r="T68" s="1273"/>
      <c r="U68" s="1273"/>
      <c r="V68" s="1273"/>
      <c r="W68" s="1275"/>
      <c r="X68" s="1273"/>
      <c r="Y68" s="1273"/>
      <c r="Z68" s="1285"/>
    </row>
    <row r="69" spans="2:26" s="515" customFormat="1" ht="20.100000000000001" customHeight="1">
      <c r="B69" s="1272"/>
      <c r="C69" s="1273"/>
      <c r="D69" s="1274"/>
      <c r="E69" s="1273"/>
      <c r="F69" s="1273"/>
      <c r="G69" s="1273"/>
      <c r="H69" s="1273"/>
      <c r="I69" s="1275"/>
      <c r="J69" s="1273"/>
      <c r="K69" s="1273"/>
      <c r="L69" s="1274"/>
      <c r="M69" s="1273"/>
      <c r="N69" s="1273"/>
      <c r="O69" s="1273"/>
      <c r="P69" s="1273"/>
      <c r="Q69" s="1273"/>
      <c r="R69" s="1273"/>
      <c r="S69" s="1273"/>
      <c r="T69" s="1273"/>
      <c r="U69" s="1273"/>
      <c r="V69" s="1273"/>
      <c r="W69" s="1275"/>
      <c r="X69" s="1273"/>
      <c r="Y69" s="1273"/>
      <c r="Z69" s="1285"/>
    </row>
    <row r="70" spans="2:26" s="515" customFormat="1" ht="20.100000000000001" customHeight="1">
      <c r="B70" s="1272"/>
      <c r="C70" s="1273"/>
      <c r="D70" s="1274"/>
      <c r="E70" s="1273"/>
      <c r="F70" s="1273"/>
      <c r="G70" s="1273"/>
      <c r="H70" s="1273"/>
      <c r="I70" s="1275"/>
      <c r="J70" s="1273"/>
      <c r="K70" s="1273"/>
      <c r="L70" s="1274"/>
      <c r="M70" s="1273"/>
      <c r="N70" s="1273"/>
      <c r="O70" s="1273"/>
      <c r="P70" s="1273"/>
      <c r="Q70" s="1273"/>
      <c r="R70" s="1273"/>
      <c r="S70" s="1273"/>
      <c r="T70" s="1273"/>
      <c r="U70" s="1273"/>
      <c r="V70" s="1273"/>
      <c r="W70" s="1275"/>
      <c r="X70" s="1273"/>
      <c r="Y70" s="1273"/>
      <c r="Z70" s="1285"/>
    </row>
    <row r="71" spans="2:26" ht="17.45" customHeight="1">
      <c r="B71" s="1269">
        <v>1</v>
      </c>
      <c r="C71" s="1270"/>
      <c r="D71" s="1270"/>
      <c r="E71" s="1270">
        <v>2</v>
      </c>
      <c r="F71" s="1270"/>
      <c r="G71" s="1270"/>
      <c r="H71" s="1270"/>
      <c r="I71" s="1270">
        <v>3</v>
      </c>
      <c r="J71" s="1270"/>
      <c r="K71" s="1270"/>
      <c r="L71" s="1270"/>
      <c r="M71" s="1270">
        <v>4</v>
      </c>
      <c r="N71" s="1270"/>
      <c r="O71" s="1270"/>
      <c r="P71" s="1270"/>
      <c r="Q71" s="1270">
        <v>5</v>
      </c>
      <c r="R71" s="1270"/>
      <c r="S71" s="1270"/>
      <c r="T71" s="1270">
        <v>6</v>
      </c>
      <c r="U71" s="1270"/>
      <c r="V71" s="1270"/>
      <c r="W71" s="1270">
        <v>7</v>
      </c>
      <c r="X71" s="1270"/>
      <c r="Y71" s="1270"/>
      <c r="Z71" s="1271"/>
    </row>
    <row r="72" spans="2:26" ht="17.45" customHeight="1">
      <c r="B72" s="1265" t="s">
        <v>781</v>
      </c>
      <c r="C72" s="1266"/>
      <c r="D72" s="1267"/>
      <c r="E72" s="1262">
        <f>RELIEF!V13</f>
        <v>269390</v>
      </c>
      <c r="F72" s="1263"/>
      <c r="G72" s="1263"/>
      <c r="H72" s="1268"/>
      <c r="I72" s="1262">
        <f>RELIEF!W13</f>
        <v>72446</v>
      </c>
      <c r="J72" s="1263"/>
      <c r="K72" s="1263"/>
      <c r="L72" s="1268"/>
      <c r="M72" s="1258">
        <f>SUM(E72,I72)</f>
        <v>341836</v>
      </c>
      <c r="N72" s="1258"/>
      <c r="O72" s="1258"/>
      <c r="P72" s="1258"/>
      <c r="Q72" s="1262">
        <f>RELIEF!AK17</f>
        <v>0</v>
      </c>
      <c r="R72" s="1263"/>
      <c r="S72" s="1268"/>
      <c r="T72" s="1262">
        <f>RELIEF!AI17</f>
        <v>7400</v>
      </c>
      <c r="U72" s="1263"/>
      <c r="V72" s="1268"/>
      <c r="W72" s="1262">
        <f>T72-Q72</f>
        <v>7400</v>
      </c>
      <c r="X72" s="1263"/>
      <c r="Y72" s="1263"/>
      <c r="Z72" s="1264"/>
    </row>
    <row r="73" spans="2:26" ht="17.45" customHeight="1">
      <c r="B73" s="1265" t="s">
        <v>782</v>
      </c>
      <c r="C73" s="1266"/>
      <c r="D73" s="1267"/>
      <c r="E73" s="1262">
        <v>0</v>
      </c>
      <c r="F73" s="1263"/>
      <c r="G73" s="1263"/>
      <c r="H73" s="1268"/>
      <c r="I73" s="1262">
        <v>0</v>
      </c>
      <c r="J73" s="1263"/>
      <c r="K73" s="1263"/>
      <c r="L73" s="1268"/>
      <c r="M73" s="1258">
        <f t="shared" ref="M73:M75" si="0">SUM(E73,I73)</f>
        <v>0</v>
      </c>
      <c r="N73" s="1258"/>
      <c r="O73" s="1258"/>
      <c r="P73" s="1258"/>
      <c r="Q73" s="1262">
        <v>0</v>
      </c>
      <c r="R73" s="1263"/>
      <c r="S73" s="1268"/>
      <c r="T73" s="1262">
        <v>0</v>
      </c>
      <c r="U73" s="1263"/>
      <c r="V73" s="1268"/>
      <c r="W73" s="1262">
        <f t="shared" ref="W73:W75" si="1">T73-Q73</f>
        <v>0</v>
      </c>
      <c r="X73" s="1263"/>
      <c r="Y73" s="1263"/>
      <c r="Z73" s="1264"/>
    </row>
    <row r="74" spans="2:26" ht="17.45" customHeight="1">
      <c r="B74" s="1265" t="s">
        <v>783</v>
      </c>
      <c r="C74" s="1266"/>
      <c r="D74" s="1267"/>
      <c r="E74" s="1262">
        <f>RELIEF!V14</f>
        <v>387970</v>
      </c>
      <c r="F74" s="1263"/>
      <c r="G74" s="1263"/>
      <c r="H74" s="1268"/>
      <c r="I74" s="1262">
        <f>RELIEF!W14</f>
        <v>1598</v>
      </c>
      <c r="J74" s="1263"/>
      <c r="K74" s="1263"/>
      <c r="L74" s="1268"/>
      <c r="M74" s="1258">
        <f t="shared" si="0"/>
        <v>389568</v>
      </c>
      <c r="N74" s="1258"/>
      <c r="O74" s="1258"/>
      <c r="P74" s="1258"/>
      <c r="Q74" s="1262">
        <f>RELIEF!AE33</f>
        <v>9061</v>
      </c>
      <c r="R74" s="1263"/>
      <c r="S74" s="1268"/>
      <c r="T74" s="1262">
        <f>RELIEF!AC33</f>
        <v>9226</v>
      </c>
      <c r="U74" s="1263"/>
      <c r="V74" s="1268"/>
      <c r="W74" s="1262">
        <f t="shared" si="1"/>
        <v>165</v>
      </c>
      <c r="X74" s="1263"/>
      <c r="Y74" s="1263"/>
      <c r="Z74" s="1264"/>
    </row>
    <row r="75" spans="2:26" ht="17.45" customHeight="1">
      <c r="B75" s="1265" t="s">
        <v>784</v>
      </c>
      <c r="C75" s="1266"/>
      <c r="D75" s="1267"/>
      <c r="E75" s="1262">
        <f>RELIEF!V15</f>
        <v>497660</v>
      </c>
      <c r="F75" s="1263"/>
      <c r="G75" s="1263"/>
      <c r="H75" s="1268"/>
      <c r="I75" s="1262">
        <f>RELIEF!W15</f>
        <v>14653</v>
      </c>
      <c r="J75" s="1263"/>
      <c r="K75" s="1263"/>
      <c r="L75" s="1268"/>
      <c r="M75" s="1258">
        <f t="shared" si="0"/>
        <v>512313</v>
      </c>
      <c r="N75" s="1258"/>
      <c r="O75" s="1258"/>
      <c r="P75" s="1258"/>
      <c r="Q75" s="1262">
        <f>RELIEF!AK33</f>
        <v>12754</v>
      </c>
      <c r="R75" s="1263"/>
      <c r="S75" s="1268"/>
      <c r="T75" s="1262">
        <f>RELIEF!AI33</f>
        <v>15412</v>
      </c>
      <c r="U75" s="1263"/>
      <c r="V75" s="1268"/>
      <c r="W75" s="1262">
        <f t="shared" si="1"/>
        <v>2658</v>
      </c>
      <c r="X75" s="1263"/>
      <c r="Y75" s="1263"/>
      <c r="Z75" s="1264"/>
    </row>
    <row r="76" spans="2:26" ht="17.45" customHeight="1">
      <c r="B76" s="1260" t="s">
        <v>247</v>
      </c>
      <c r="C76" s="1261"/>
      <c r="D76" s="1261"/>
      <c r="E76" s="1258">
        <f>SUM(E72:E75)</f>
        <v>1155020</v>
      </c>
      <c r="F76" s="1258"/>
      <c r="G76" s="1258"/>
      <c r="H76" s="1258"/>
      <c r="I76" s="1258">
        <f>SUM(I72:I75)</f>
        <v>88697</v>
      </c>
      <c r="J76" s="1258"/>
      <c r="K76" s="1258"/>
      <c r="L76" s="1258"/>
      <c r="M76" s="1258">
        <f>SUM(M72:M75)</f>
        <v>1243717</v>
      </c>
      <c r="N76" s="1258"/>
      <c r="O76" s="1258"/>
      <c r="P76" s="1258"/>
      <c r="Q76" s="1258">
        <f>SUM(Q72:S75)</f>
        <v>21815</v>
      </c>
      <c r="R76" s="1258"/>
      <c r="S76" s="1258"/>
      <c r="T76" s="1258">
        <f>SUM(T72:V75)</f>
        <v>32038</v>
      </c>
      <c r="U76" s="1258"/>
      <c r="V76" s="1258"/>
      <c r="W76" s="1258">
        <f>SUM(W72:Z75)</f>
        <v>10223</v>
      </c>
      <c r="X76" s="1258"/>
      <c r="Y76" s="1258"/>
      <c r="Z76" s="1259"/>
    </row>
    <row r="77" spans="2:26" ht="20.100000000000001" customHeight="1">
      <c r="B77" s="512"/>
      <c r="C77" s="513"/>
      <c r="D77" s="513"/>
      <c r="E77" s="513"/>
      <c r="F77" s="513"/>
      <c r="G77" s="513"/>
      <c r="H77" s="513"/>
      <c r="I77" s="513"/>
      <c r="J77" s="513"/>
      <c r="K77" s="513"/>
      <c r="L77" s="513"/>
      <c r="M77" s="513"/>
      <c r="N77" s="513"/>
      <c r="O77" s="513"/>
      <c r="P77" s="513"/>
      <c r="Q77" s="513"/>
      <c r="R77" s="513"/>
      <c r="S77" s="513"/>
      <c r="T77" s="513"/>
      <c r="U77" s="513"/>
      <c r="V77" s="513"/>
      <c r="W77" s="513"/>
      <c r="X77" s="513"/>
      <c r="Y77" s="513"/>
      <c r="Z77" s="514"/>
    </row>
    <row r="78" spans="2:26" ht="20.100000000000001" customHeight="1">
      <c r="B78" s="1322" t="str">
        <f>B40</f>
        <v>PLACE  :   MANDAL PARISHAD ; DORNALA.</v>
      </c>
      <c r="C78" s="1323"/>
      <c r="D78" s="1323"/>
      <c r="E78" s="1323"/>
      <c r="F78" s="1323"/>
      <c r="G78" s="1323"/>
      <c r="H78" s="1323"/>
      <c r="I78" s="1323"/>
      <c r="J78" s="1323"/>
      <c r="K78" s="1323"/>
      <c r="L78" s="1323"/>
      <c r="M78" s="1323"/>
      <c r="N78" s="1323"/>
      <c r="O78" s="492"/>
      <c r="P78" s="492"/>
      <c r="Q78" s="496"/>
      <c r="R78" s="496"/>
      <c r="S78" s="1317"/>
      <c r="T78" s="1317"/>
      <c r="U78" s="1317"/>
      <c r="V78" s="1317"/>
      <c r="W78" s="1317"/>
      <c r="X78" s="1317"/>
      <c r="Y78" s="496"/>
      <c r="Z78" s="497"/>
    </row>
    <row r="79" spans="2:26" ht="20.100000000000001" customHeight="1">
      <c r="B79" s="1322" t="str">
        <f ca="1">B41</f>
        <v>DATE    :  27-MAY-2019</v>
      </c>
      <c r="C79" s="1323"/>
      <c r="D79" s="1323"/>
      <c r="E79" s="1323"/>
      <c r="F79" s="1323"/>
      <c r="G79" s="1323"/>
      <c r="H79" s="1323"/>
      <c r="I79" s="1323"/>
      <c r="J79" s="1323"/>
      <c r="K79" s="1323"/>
      <c r="L79" s="1323"/>
      <c r="M79" s="1323"/>
      <c r="N79" s="1323"/>
      <c r="O79" s="492"/>
      <c r="P79" s="492"/>
      <c r="Q79" s="492"/>
      <c r="R79" s="492"/>
      <c r="S79" s="492" t="s">
        <v>763</v>
      </c>
      <c r="T79" s="492"/>
      <c r="U79" s="492"/>
      <c r="V79" s="492"/>
      <c r="W79" s="492"/>
      <c r="X79" s="492"/>
      <c r="Y79" s="496"/>
      <c r="Z79" s="497"/>
    </row>
    <row r="80" spans="2:26">
      <c r="B80" s="516"/>
      <c r="C80" s="375"/>
      <c r="D80" s="375"/>
      <c r="E80" s="375"/>
      <c r="F80" s="375"/>
      <c r="G80" s="375"/>
      <c r="H80" s="375"/>
      <c r="I80" s="375"/>
      <c r="J80" s="375"/>
      <c r="K80" s="375"/>
      <c r="L80" s="375"/>
      <c r="M80" s="375"/>
      <c r="N80" s="375"/>
      <c r="O80" s="375"/>
      <c r="P80" s="375"/>
      <c r="Q80" s="375"/>
      <c r="R80" s="375"/>
      <c r="S80" s="375"/>
      <c r="T80" s="375"/>
      <c r="U80" s="375"/>
      <c r="V80" s="375"/>
      <c r="W80" s="375"/>
      <c r="X80" s="375"/>
      <c r="Y80" s="375"/>
      <c r="Z80" s="517"/>
    </row>
    <row r="81" spans="2:26">
      <c r="B81" s="516"/>
      <c r="C81" s="375"/>
      <c r="D81" s="375"/>
      <c r="E81" s="375"/>
      <c r="F81" s="375"/>
      <c r="G81" s="375"/>
      <c r="H81" s="375"/>
      <c r="I81" s="375"/>
      <c r="J81" s="375"/>
      <c r="K81" s="375"/>
      <c r="L81" s="375"/>
      <c r="M81" s="375"/>
      <c r="N81" s="375"/>
      <c r="O81" s="375"/>
      <c r="P81" s="375"/>
      <c r="Q81" s="375"/>
      <c r="R81" s="375"/>
      <c r="S81" s="375"/>
      <c r="T81" s="375"/>
      <c r="U81" s="375"/>
      <c r="V81" s="375"/>
      <c r="W81" s="375"/>
      <c r="X81" s="375"/>
      <c r="Y81" s="375"/>
      <c r="Z81" s="517"/>
    </row>
    <row r="82" spans="2:26" ht="15.75" thickBot="1">
      <c r="B82" s="518"/>
      <c r="C82" s="519"/>
      <c r="D82" s="519"/>
      <c r="E82" s="519"/>
      <c r="F82" s="519"/>
      <c r="G82" s="519"/>
      <c r="H82" s="519"/>
      <c r="I82" s="519"/>
      <c r="J82" s="519"/>
      <c r="K82" s="519"/>
      <c r="L82" s="519"/>
      <c r="M82" s="519"/>
      <c r="N82" s="519"/>
      <c r="O82" s="519"/>
      <c r="P82" s="519"/>
      <c r="Q82" s="519"/>
      <c r="R82" s="519"/>
      <c r="S82" s="519"/>
      <c r="T82" s="519"/>
      <c r="U82" s="519"/>
      <c r="V82" s="519"/>
      <c r="W82" s="519"/>
      <c r="X82" s="519"/>
      <c r="Y82" s="519"/>
      <c r="Z82" s="520"/>
    </row>
    <row r="83" spans="2:26" ht="15.75" thickTop="1">
      <c r="B83" s="1315" t="s">
        <v>268</v>
      </c>
      <c r="C83" s="1315"/>
      <c r="D83" s="1315"/>
      <c r="E83" s="1315"/>
      <c r="F83" s="1315"/>
      <c r="G83" s="1315"/>
      <c r="H83" s="1315"/>
      <c r="I83" s="1315"/>
      <c r="J83" s="1315"/>
      <c r="K83" s="1315"/>
      <c r="L83" s="1315"/>
      <c r="M83" s="1315"/>
      <c r="N83" s="1315"/>
      <c r="O83" s="1315"/>
      <c r="P83" s="1315"/>
      <c r="Q83" s="1315"/>
      <c r="R83" s="1315"/>
      <c r="S83" s="1315"/>
      <c r="T83" s="1315"/>
      <c r="U83" s="1315"/>
      <c r="V83" s="1315"/>
      <c r="W83" s="1315"/>
      <c r="X83" s="1315"/>
      <c r="Y83" s="1315"/>
      <c r="Z83" s="1315"/>
    </row>
  </sheetData>
  <sheetProtection password="C6B1" sheet="1" objects="1" scenarios="1" selectLockedCells="1" selectUnlockedCells="1"/>
  <mergeCells count="115">
    <mergeCell ref="T16:X16"/>
    <mergeCell ref="D17:R21"/>
    <mergeCell ref="T17:X17"/>
    <mergeCell ref="T18:X18"/>
    <mergeCell ref="B2:Z3"/>
    <mergeCell ref="B83:Z83"/>
    <mergeCell ref="B45:Z45"/>
    <mergeCell ref="S29:X29"/>
    <mergeCell ref="S40:X40"/>
    <mergeCell ref="S78:X78"/>
    <mergeCell ref="B40:P40"/>
    <mergeCell ref="B41:P41"/>
    <mergeCell ref="B36:E36"/>
    <mergeCell ref="B78:N78"/>
    <mergeCell ref="B79:N79"/>
    <mergeCell ref="B47:Z47"/>
    <mergeCell ref="P30:X30"/>
    <mergeCell ref="B31:Z31"/>
    <mergeCell ref="C33:Y34"/>
    <mergeCell ref="F36:K36"/>
    <mergeCell ref="C52:S52"/>
    <mergeCell ref="U52:Y52"/>
    <mergeCell ref="C53:S53"/>
    <mergeCell ref="U53:Y53"/>
    <mergeCell ref="D12:R13"/>
    <mergeCell ref="T12:X12"/>
    <mergeCell ref="T13:X13"/>
    <mergeCell ref="D14:R15"/>
    <mergeCell ref="T14:X14"/>
    <mergeCell ref="T15:X15"/>
    <mergeCell ref="B4:Z4"/>
    <mergeCell ref="L5:Y6"/>
    <mergeCell ref="L7:Y7"/>
    <mergeCell ref="L8:X8"/>
    <mergeCell ref="C9:Y11"/>
    <mergeCell ref="T19:X19"/>
    <mergeCell ref="T20:X20"/>
    <mergeCell ref="T21:X21"/>
    <mergeCell ref="U50:Y50"/>
    <mergeCell ref="C51:S51"/>
    <mergeCell ref="U51:Y51"/>
    <mergeCell ref="C58:S58"/>
    <mergeCell ref="U58:Y58"/>
    <mergeCell ref="C59:S59"/>
    <mergeCell ref="U59:Y59"/>
    <mergeCell ref="C50:S50"/>
    <mergeCell ref="T22:X22"/>
    <mergeCell ref="D23:R24"/>
    <mergeCell ref="T23:X23"/>
    <mergeCell ref="T24:X24"/>
    <mergeCell ref="T25:X25"/>
    <mergeCell ref="D26:R27"/>
    <mergeCell ref="T26:X26"/>
    <mergeCell ref="T27:X27"/>
    <mergeCell ref="C54:S54"/>
    <mergeCell ref="U54:Y54"/>
    <mergeCell ref="B48:Z48"/>
    <mergeCell ref="B49:Z49"/>
    <mergeCell ref="B63:Z63"/>
    <mergeCell ref="B64:Z64"/>
    <mergeCell ref="C55:S55"/>
    <mergeCell ref="U55:Y55"/>
    <mergeCell ref="C56:S56"/>
    <mergeCell ref="U56:Y56"/>
    <mergeCell ref="C57:S57"/>
    <mergeCell ref="U57:Y57"/>
    <mergeCell ref="W65:Z70"/>
    <mergeCell ref="B71:D71"/>
    <mergeCell ref="E71:H71"/>
    <mergeCell ref="I71:L71"/>
    <mergeCell ref="M71:P71"/>
    <mergeCell ref="Q71:S71"/>
    <mergeCell ref="T71:V71"/>
    <mergeCell ref="W71:Z71"/>
    <mergeCell ref="B65:D70"/>
    <mergeCell ref="E65:H70"/>
    <mergeCell ref="I65:L70"/>
    <mergeCell ref="M65:P70"/>
    <mergeCell ref="Q65:S70"/>
    <mergeCell ref="T65:V70"/>
    <mergeCell ref="W72:Z72"/>
    <mergeCell ref="B73:D73"/>
    <mergeCell ref="E73:H73"/>
    <mergeCell ref="I73:L73"/>
    <mergeCell ref="M73:P73"/>
    <mergeCell ref="Q73:S73"/>
    <mergeCell ref="T73:V73"/>
    <mergeCell ref="W73:Z73"/>
    <mergeCell ref="B72:D72"/>
    <mergeCell ref="E72:H72"/>
    <mergeCell ref="I72:L72"/>
    <mergeCell ref="M72:P72"/>
    <mergeCell ref="Q72:S72"/>
    <mergeCell ref="T72:V72"/>
    <mergeCell ref="W76:Z76"/>
    <mergeCell ref="B76:D76"/>
    <mergeCell ref="E76:H76"/>
    <mergeCell ref="I76:L76"/>
    <mergeCell ref="M76:P76"/>
    <mergeCell ref="Q76:S76"/>
    <mergeCell ref="T76:V76"/>
    <mergeCell ref="W74:Z74"/>
    <mergeCell ref="B75:D75"/>
    <mergeCell ref="E75:H75"/>
    <mergeCell ref="I75:L75"/>
    <mergeCell ref="M75:P75"/>
    <mergeCell ref="Q75:S75"/>
    <mergeCell ref="T75:V75"/>
    <mergeCell ref="W75:Z75"/>
    <mergeCell ref="B74:D74"/>
    <mergeCell ref="E74:H74"/>
    <mergeCell ref="I74:L74"/>
    <mergeCell ref="M74:P74"/>
    <mergeCell ref="Q74:S74"/>
    <mergeCell ref="T74:V74"/>
  </mergeCells>
  <printOptions horizontalCentered="1"/>
  <pageMargins left="0.25" right="0.25" top="0.75" bottom="0.75" header="0.3" footer="0.3"/>
  <pageSetup paperSize="9" orientation="portrait" r:id="rId1"/>
  <rowBreaks count="2" manualBreakCount="2">
    <brk id="45" max="16383" man="1"/>
    <brk id="8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G59"/>
  <sheetViews>
    <sheetView showGridLines="0" showRowColHeaders="0" zoomScaleNormal="100" zoomScaleSheetLayoutView="100" workbookViewId="0">
      <pane xSplit="1" ySplit="8" topLeftCell="B28" activePane="bottomRight" state="frozen"/>
      <selection activeCell="C26" sqref="C26:AA26"/>
      <selection pane="topRight" activeCell="C26" sqref="C26:AA26"/>
      <selection pane="bottomLeft" activeCell="C26" sqref="C26:AA26"/>
      <selection pane="bottomRight" activeCell="B59" sqref="B59:G59"/>
    </sheetView>
  </sheetViews>
  <sheetFormatPr defaultRowHeight="15"/>
  <cols>
    <col min="1" max="1" width="1.28515625" customWidth="1" collapsed="1"/>
    <col min="2" max="2" width="5.7109375" customWidth="1" collapsed="1"/>
    <col min="3" max="3" width="4.7109375" customWidth="1" collapsed="1"/>
    <col min="4" max="4" width="9.28515625" customWidth="1" collapsed="1"/>
    <col min="5" max="5" width="40.7109375" customWidth="1" collapsed="1"/>
    <col min="6" max="6" width="15.7109375" style="266" customWidth="1" collapsed="1"/>
    <col min="7" max="7" width="24.7109375" style="266" customWidth="1" collapsed="1"/>
  </cols>
  <sheetData>
    <row r="1" spans="2:7" ht="5.0999999999999996" customHeight="1" thickBot="1"/>
    <row r="2" spans="2:7" ht="15.6" customHeight="1" thickTop="1">
      <c r="B2" s="1385" t="s">
        <v>588</v>
      </c>
      <c r="C2" s="1386"/>
      <c r="D2" s="1386"/>
      <c r="E2" s="1386"/>
      <c r="F2" s="1386"/>
      <c r="G2" s="1387"/>
    </row>
    <row r="3" spans="2:7" ht="15.6" customHeight="1">
      <c r="B3" s="1388" t="s">
        <v>589</v>
      </c>
      <c r="C3" s="1389"/>
      <c r="D3" s="1389"/>
      <c r="E3" s="1389"/>
      <c r="F3" s="1389"/>
      <c r="G3" s="1390"/>
    </row>
    <row r="4" spans="2:7" ht="15.6" customHeight="1">
      <c r="B4" s="1388" t="s">
        <v>590</v>
      </c>
      <c r="C4" s="1389"/>
      <c r="D4" s="1389"/>
      <c r="E4" s="1389"/>
      <c r="F4" s="1389"/>
      <c r="G4" s="1390"/>
    </row>
    <row r="5" spans="2:7" ht="15.6" customHeight="1">
      <c r="B5" s="1391" t="str">
        <f>CONCATENATE("1. Name and address of the employee :    ",DATA!O25,"_",DATA!O32)</f>
        <v>1. Name and address of the employee :    _DORNALA</v>
      </c>
      <c r="C5" s="1392"/>
      <c r="D5" s="1392"/>
      <c r="E5" s="1392"/>
      <c r="F5" s="1392"/>
      <c r="G5" s="1393"/>
    </row>
    <row r="6" spans="2:7" ht="15.6" customHeight="1">
      <c r="B6" s="1391" t="str">
        <f>CONCATENATE("2. Permanent Account Number of the employee  :   ",DATA!O29)</f>
        <v xml:space="preserve">2. Permanent Account Number of the employee  :   </v>
      </c>
      <c r="C6" s="1392"/>
      <c r="D6" s="1392"/>
      <c r="E6" s="1392"/>
      <c r="F6" s="1392"/>
      <c r="G6" s="1393"/>
    </row>
    <row r="7" spans="2:7" ht="15.6" customHeight="1">
      <c r="B7" s="1391" t="str">
        <f>CONCATENATE("3. CFMS ID  of the employee  :         ",DATA!O30)</f>
        <v xml:space="preserve">3. CFMS ID  of the employee  :         </v>
      </c>
      <c r="C7" s="1392"/>
      <c r="D7" s="1392"/>
      <c r="E7" s="1392"/>
      <c r="F7" s="1392"/>
      <c r="G7" s="1393"/>
    </row>
    <row r="8" spans="2:7" ht="15.6" customHeight="1">
      <c r="B8" s="1391" t="str">
        <f>CONCATENATE("4. Financial year  :      ",'ANNEXURE II'!B3)</f>
        <v>4. Financial year  :      2018-2019</v>
      </c>
      <c r="C8" s="1392"/>
      <c r="D8" s="1392"/>
      <c r="E8" s="1392"/>
      <c r="F8" s="1392"/>
      <c r="G8" s="1393"/>
    </row>
    <row r="9" spans="2:7" ht="20.100000000000001" customHeight="1">
      <c r="B9" s="1394" t="s">
        <v>591</v>
      </c>
      <c r="C9" s="1395"/>
      <c r="D9" s="1395"/>
      <c r="E9" s="1395"/>
      <c r="F9" s="1395"/>
      <c r="G9" s="1396"/>
    </row>
    <row r="10" spans="2:7" ht="23.1" customHeight="1">
      <c r="B10" s="267" t="s">
        <v>567</v>
      </c>
      <c r="C10" s="1397" t="s">
        <v>592</v>
      </c>
      <c r="D10" s="1398"/>
      <c r="E10" s="1399"/>
      <c r="F10" s="268" t="s">
        <v>593</v>
      </c>
      <c r="G10" s="269" t="s">
        <v>594</v>
      </c>
    </row>
    <row r="11" spans="2:7" ht="15.95" customHeight="1">
      <c r="B11" s="270" t="s">
        <v>595</v>
      </c>
      <c r="C11" s="1400" t="s">
        <v>596</v>
      </c>
      <c r="D11" s="1401"/>
      <c r="E11" s="1402"/>
      <c r="F11" s="271" t="s">
        <v>597</v>
      </c>
      <c r="G11" s="272" t="s">
        <v>598</v>
      </c>
    </row>
    <row r="12" spans="2:7" ht="15.6" customHeight="1">
      <c r="B12" s="273">
        <v>1</v>
      </c>
      <c r="C12" s="1403" t="s">
        <v>599</v>
      </c>
      <c r="D12" s="1404"/>
      <c r="E12" s="1405"/>
      <c r="F12" s="274"/>
      <c r="G12" s="275"/>
    </row>
    <row r="13" spans="2:7" ht="15.6" customHeight="1">
      <c r="B13" s="276"/>
      <c r="C13" s="1382" t="str">
        <f>IF(DATA!G38=0,"  (i) Rent paid to the landlord       :        ",CONCATENATE("  (i) Rent paid to the landlord       :       Rs.  ",DATA!G38,"  x "," 12 "," = ",'ANNEXURE II'!M3))</f>
        <v xml:space="preserve">  (i) Rent paid to the landlord       :       Rs.  8300  x  12  = 99600</v>
      </c>
      <c r="D13" s="1383"/>
      <c r="E13" s="1384"/>
      <c r="F13" s="277">
        <f>'ANNEXURE II'!M3</f>
        <v>99600</v>
      </c>
      <c r="G13" s="278" t="str">
        <f>IF(F13&gt;0,"RECEIPT PRODUCED","")</f>
        <v>RECEIPT PRODUCED</v>
      </c>
    </row>
    <row r="14" spans="2:7" ht="15.6" customHeight="1">
      <c r="B14" s="276"/>
      <c r="C14" s="1338" t="s">
        <v>811</v>
      </c>
      <c r="D14" s="1339"/>
      <c r="E14" s="1340"/>
      <c r="F14" s="1341" t="str">
        <f>UPPER(DATA!O42)</f>
        <v>D.PEERAMBEE</v>
      </c>
      <c r="G14" s="1342"/>
    </row>
    <row r="15" spans="2:7" ht="15.6" customHeight="1">
      <c r="B15" s="276"/>
      <c r="C15" s="608" t="str">
        <f>CONCATENATE("(iii) Address of the landlord       :   ",DATA!O43&amp;" ; "&amp;DATA!O44&amp;" ; "&amp;DATA!O45)</f>
        <v>(iii) Address of the landlord       :   4-69F ; INDIRA NAGAR ; DORNALA</v>
      </c>
      <c r="D15" s="609"/>
      <c r="E15" s="610"/>
      <c r="F15" s="611"/>
      <c r="G15" s="607"/>
    </row>
    <row r="16" spans="2:7" ht="15.6" customHeight="1">
      <c r="B16" s="280"/>
      <c r="C16" s="1370" t="s">
        <v>600</v>
      </c>
      <c r="D16" s="1371"/>
      <c r="E16" s="1372"/>
      <c r="F16" s="1343" t="str">
        <f>IF(DATA!G38&gt;=8333,DATA!O46,"NOT APPLICABLE")</f>
        <v>NOT APPLICABLE</v>
      </c>
      <c r="G16" s="1344"/>
    </row>
    <row r="17" spans="2:7" ht="15.6" customHeight="1">
      <c r="B17" s="281">
        <v>2</v>
      </c>
      <c r="C17" s="1373" t="s">
        <v>601</v>
      </c>
      <c r="D17" s="1374"/>
      <c r="E17" s="1375"/>
      <c r="F17" s="282"/>
      <c r="G17" s="283"/>
    </row>
    <row r="18" spans="2:7" ht="15.6" customHeight="1">
      <c r="B18" s="276">
        <v>3</v>
      </c>
      <c r="C18" s="1376" t="s">
        <v>602</v>
      </c>
      <c r="D18" s="1377"/>
      <c r="E18" s="1378"/>
      <c r="F18" s="284"/>
      <c r="G18" s="275"/>
    </row>
    <row r="19" spans="2:7" ht="15.6" customHeight="1">
      <c r="B19" s="276"/>
      <c r="C19" s="1358" t="s">
        <v>603</v>
      </c>
      <c r="D19" s="1359"/>
      <c r="E19" s="1360"/>
      <c r="F19" s="277">
        <v>0</v>
      </c>
      <c r="G19" s="278"/>
    </row>
    <row r="20" spans="2:7" ht="15.6" customHeight="1">
      <c r="B20" s="276"/>
      <c r="C20" s="1358" t="s">
        <v>604</v>
      </c>
      <c r="D20" s="1359"/>
      <c r="E20" s="1360"/>
      <c r="F20" s="279"/>
      <c r="G20" s="278"/>
    </row>
    <row r="21" spans="2:7" ht="15.6" customHeight="1">
      <c r="B21" s="276"/>
      <c r="C21" s="1358" t="s">
        <v>605</v>
      </c>
      <c r="D21" s="1359"/>
      <c r="E21" s="1360"/>
      <c r="F21" s="279"/>
      <c r="G21" s="278"/>
    </row>
    <row r="22" spans="2:7" ht="15.6" customHeight="1">
      <c r="B22" s="276"/>
      <c r="C22" s="1358" t="s">
        <v>606</v>
      </c>
      <c r="D22" s="1359"/>
      <c r="E22" s="1360"/>
      <c r="F22" s="279"/>
      <c r="G22" s="278"/>
    </row>
    <row r="23" spans="2:7" ht="15.6" customHeight="1">
      <c r="B23" s="276"/>
      <c r="C23" s="1358" t="s">
        <v>607</v>
      </c>
      <c r="D23" s="1359"/>
      <c r="E23" s="1360"/>
      <c r="F23" s="279"/>
      <c r="G23" s="278"/>
    </row>
    <row r="24" spans="2:7" ht="15.6" customHeight="1">
      <c r="B24" s="276"/>
      <c r="C24" s="1358" t="s">
        <v>608</v>
      </c>
      <c r="D24" s="1359"/>
      <c r="E24" s="1360"/>
      <c r="F24" s="279"/>
      <c r="G24" s="278"/>
    </row>
    <row r="25" spans="2:7" ht="15.6" customHeight="1">
      <c r="B25" s="280"/>
      <c r="C25" s="1370" t="s">
        <v>609</v>
      </c>
      <c r="D25" s="1371"/>
      <c r="E25" s="1372"/>
      <c r="F25" s="285"/>
      <c r="G25" s="286"/>
    </row>
    <row r="26" spans="2:7" ht="15.6" customHeight="1">
      <c r="B26" s="276">
        <v>4</v>
      </c>
      <c r="C26" s="1355" t="s">
        <v>610</v>
      </c>
      <c r="D26" s="1356"/>
      <c r="E26" s="1357"/>
      <c r="F26" s="287"/>
      <c r="G26" s="275"/>
    </row>
    <row r="27" spans="2:7" ht="15.6" customHeight="1">
      <c r="B27" s="276" t="s">
        <v>611</v>
      </c>
      <c r="C27" s="1358" t="s">
        <v>612</v>
      </c>
      <c r="D27" s="1359"/>
      <c r="E27" s="1360"/>
      <c r="F27" s="288"/>
      <c r="G27" s="278"/>
    </row>
    <row r="28" spans="2:7" ht="15.6" customHeight="1">
      <c r="B28" s="276"/>
      <c r="C28" s="1379" t="s">
        <v>613</v>
      </c>
      <c r="D28" s="1380"/>
      <c r="E28" s="1381"/>
      <c r="F28" s="288"/>
      <c r="G28" s="278"/>
    </row>
    <row r="29" spans="2:7" ht="15.6" customHeight="1">
      <c r="B29" s="276"/>
      <c r="C29" s="289" t="s">
        <v>563</v>
      </c>
      <c r="D29" s="290" t="s">
        <v>548</v>
      </c>
      <c r="E29" s="291" t="str">
        <f>'ANNEXURE II'!D34</f>
        <v xml:space="preserve">GPF_CPS  :   A/c No. :  </v>
      </c>
      <c r="F29" s="292">
        <f>'ANNEXURE II'!H34</f>
        <v>133075</v>
      </c>
      <c r="G29" s="293" t="str">
        <f>IF(F29&gt;0,"SALARY DEDUCTION","")</f>
        <v>SALARY DEDUCTION</v>
      </c>
    </row>
    <row r="30" spans="2:7" ht="15.6" customHeight="1">
      <c r="B30" s="276"/>
      <c r="C30" s="289" t="s">
        <v>564</v>
      </c>
      <c r="D30" s="290" t="s">
        <v>548</v>
      </c>
      <c r="E30" s="291" t="str">
        <f>'ANNEXURE II'!D35</f>
        <v xml:space="preserve">A.P.G.L.I.  :   A/c No. :  </v>
      </c>
      <c r="F30" s="292">
        <f>'ANNEXURE II'!H35</f>
        <v>16800</v>
      </c>
      <c r="G30" s="293" t="str">
        <f t="shared" ref="G30:G31" si="0">IF(F30&gt;0,"SALARY DEDUCTION","")</f>
        <v>SALARY DEDUCTION</v>
      </c>
    </row>
    <row r="31" spans="2:7" ht="15.6" customHeight="1">
      <c r="B31" s="276"/>
      <c r="C31" s="289" t="s">
        <v>614</v>
      </c>
      <c r="D31" s="290" t="s">
        <v>548</v>
      </c>
      <c r="E31" s="291" t="str">
        <f>'ANNEXURE II'!D36</f>
        <v>G.I.S.    ( Group Insurance Scheme )</v>
      </c>
      <c r="F31" s="292">
        <f>'ANNEXURE II'!H36</f>
        <v>720</v>
      </c>
      <c r="G31" s="293" t="str">
        <f t="shared" si="0"/>
        <v>SALARY DEDUCTION</v>
      </c>
    </row>
    <row r="32" spans="2:7" ht="15.6" customHeight="1">
      <c r="B32" s="276"/>
      <c r="C32" s="289" t="s">
        <v>615</v>
      </c>
      <c r="D32" s="294" t="s">
        <v>549</v>
      </c>
      <c r="E32" s="291" t="str">
        <f>'ANNEXURE II'!D37</f>
        <v>L.I.C. PREMIUMS (From Salary Deduction )</v>
      </c>
      <c r="F32" s="292">
        <f>'ANNEXURE II'!H37</f>
        <v>0</v>
      </c>
      <c r="G32" s="295" t="str">
        <f>IF(F32&gt;0,"RECEIPT PRODUCED","")</f>
        <v/>
      </c>
    </row>
    <row r="33" spans="2:7" ht="15.6" customHeight="1">
      <c r="B33" s="276"/>
      <c r="C33" s="289" t="s">
        <v>616</v>
      </c>
      <c r="D33" s="290" t="s">
        <v>549</v>
      </c>
      <c r="E33" s="291" t="str">
        <f>'ANNEXURE II'!D38</f>
        <v>POSTAL LIFE INSURANCE (PLI/RPLI)</v>
      </c>
      <c r="F33" s="292">
        <f>'ANNEXURE II'!H38</f>
        <v>0</v>
      </c>
      <c r="G33" s="295" t="str">
        <f t="shared" ref="G33:G40" si="1">IF(F33&gt;0,"RECEIPT PRODUCED","")</f>
        <v/>
      </c>
    </row>
    <row r="34" spans="2:7" ht="15.6" customHeight="1">
      <c r="B34" s="276"/>
      <c r="C34" s="289" t="s">
        <v>617</v>
      </c>
      <c r="D34" s="290" t="s">
        <v>549</v>
      </c>
      <c r="E34" s="291" t="str">
        <f>'ANNEXURE II'!D39</f>
        <v>SUKANYA SAMRIDHI YOJANA</v>
      </c>
      <c r="F34" s="292">
        <f>'ANNEXURE II'!H39</f>
        <v>0</v>
      </c>
      <c r="G34" s="295" t="str">
        <f t="shared" si="1"/>
        <v/>
      </c>
    </row>
    <row r="35" spans="2:7" ht="15.6" customHeight="1">
      <c r="B35" s="276"/>
      <c r="C35" s="289" t="s">
        <v>618</v>
      </c>
      <c r="D35" s="290" t="s">
        <v>549</v>
      </c>
      <c r="E35" s="291" t="str">
        <f>'ANNEXURE II'!D40</f>
        <v>S.B.I. LIFE INSURANCE</v>
      </c>
      <c r="F35" s="292">
        <f>'ANNEXURE II'!H40</f>
        <v>25000</v>
      </c>
      <c r="G35" s="295" t="str">
        <f t="shared" si="1"/>
        <v>RECEIPT PRODUCED</v>
      </c>
    </row>
    <row r="36" spans="2:7" ht="15.6" customHeight="1">
      <c r="B36" s="276"/>
      <c r="C36" s="289" t="s">
        <v>619</v>
      </c>
      <c r="D36" s="290" t="s">
        <v>549</v>
      </c>
      <c r="E36" s="291" t="str">
        <f>'ANNEXURE II'!D41</f>
        <v>PUBLIC PROVIDENT FUND</v>
      </c>
      <c r="F36" s="292">
        <f>'ANNEXURE II'!H41</f>
        <v>0</v>
      </c>
      <c r="G36" s="295" t="str">
        <f t="shared" si="1"/>
        <v/>
      </c>
    </row>
    <row r="37" spans="2:7" ht="15.6" customHeight="1">
      <c r="B37" s="276"/>
      <c r="C37" s="289" t="s">
        <v>620</v>
      </c>
      <c r="D37" s="290" t="s">
        <v>549</v>
      </c>
      <c r="E37" s="291" t="str">
        <f>'ANNEXURE II'!D42</f>
        <v>TUTION FEE FOR CHILDREN</v>
      </c>
      <c r="F37" s="292">
        <f>'ANNEXURE II'!H42</f>
        <v>0</v>
      </c>
      <c r="G37" s="295" t="str">
        <f t="shared" si="1"/>
        <v/>
      </c>
    </row>
    <row r="38" spans="2:7" ht="15.6" customHeight="1">
      <c r="B38" s="276"/>
      <c r="C38" s="289" t="s">
        <v>621</v>
      </c>
      <c r="D38" s="290" t="s">
        <v>549</v>
      </c>
      <c r="E38" s="291" t="str">
        <f>'ANNEXURE II'!D43</f>
        <v>HOME LOAN PRINCIPLE AMOUNT</v>
      </c>
      <c r="F38" s="292">
        <f>'ANNEXURE II'!H43</f>
        <v>0</v>
      </c>
      <c r="G38" s="295" t="str">
        <f t="shared" si="1"/>
        <v/>
      </c>
    </row>
    <row r="39" spans="2:7" ht="15.6" customHeight="1">
      <c r="B39" s="276"/>
      <c r="C39" s="289" t="s">
        <v>622</v>
      </c>
      <c r="D39" s="290" t="s">
        <v>623</v>
      </c>
      <c r="E39" s="291" t="str">
        <f>'ANNEXURE II'!D44</f>
        <v>NATIONAL SAVINGS CERTIFICATE</v>
      </c>
      <c r="F39" s="292">
        <f>'ANNEXURE II'!H44</f>
        <v>0</v>
      </c>
      <c r="G39" s="295" t="str">
        <f t="shared" si="1"/>
        <v/>
      </c>
    </row>
    <row r="40" spans="2:7" ht="15.6" customHeight="1">
      <c r="B40" s="276"/>
      <c r="C40" s="289" t="s">
        <v>624</v>
      </c>
      <c r="D40" s="290" t="s">
        <v>625</v>
      </c>
      <c r="E40" s="291" t="str">
        <f>'ANNEXURE II'!D45</f>
        <v>5 Yrs Fixed Deposits ( Bank / Postal )</v>
      </c>
      <c r="F40" s="292">
        <f>'ANNEXURE II'!H45</f>
        <v>0</v>
      </c>
      <c r="G40" s="295" t="str">
        <f t="shared" si="1"/>
        <v/>
      </c>
    </row>
    <row r="41" spans="2:7" ht="15.6" customHeight="1">
      <c r="B41" s="276"/>
      <c r="C41" s="289" t="s">
        <v>640</v>
      </c>
      <c r="D41" s="305" t="s">
        <v>549</v>
      </c>
      <c r="E41" s="291" t="str">
        <f>'ANNEXURE II'!D46</f>
        <v>OTHER MUTUAL FUNDS……………….</v>
      </c>
      <c r="F41" s="292">
        <f>'ANNEXURE II'!H46</f>
        <v>0</v>
      </c>
      <c r="G41" s="295" t="str">
        <f>IF(F41&gt;0,"RECEIPT PRODUCED","")</f>
        <v/>
      </c>
    </row>
    <row r="42" spans="2:7" ht="31.5" customHeight="1">
      <c r="B42" s="276" t="s">
        <v>626</v>
      </c>
      <c r="C42" s="1361" t="s">
        <v>627</v>
      </c>
      <c r="D42" s="1362"/>
      <c r="E42" s="1363"/>
      <c r="F42" s="296"/>
      <c r="G42" s="297"/>
    </row>
    <row r="43" spans="2:7" ht="15.6" customHeight="1">
      <c r="B43" s="276"/>
      <c r="C43" s="298" t="s">
        <v>620</v>
      </c>
      <c r="D43" s="299" t="s">
        <v>555</v>
      </c>
      <c r="E43" s="300" t="str">
        <f>'ANNEXURE II'!D24</f>
        <v>E.W.F &amp; S.W.F &amp; CMRF          U/s 80(G)</v>
      </c>
      <c r="F43" s="292">
        <f>'ANNEXURE II'!H24</f>
        <v>870</v>
      </c>
      <c r="G43" s="293" t="str">
        <f>IF(F43&gt;0,"SALARY DEDUCTION","")</f>
        <v>SALARY DEDUCTION</v>
      </c>
    </row>
    <row r="44" spans="2:7" ht="15.6" customHeight="1">
      <c r="B44" s="276"/>
      <c r="C44" s="298" t="s">
        <v>628</v>
      </c>
      <c r="D44" s="299" t="s">
        <v>556</v>
      </c>
      <c r="E44" s="300" t="str">
        <f>'ANNEXURE II'!D25</f>
        <v>Interest of Educational Loan U/s 80(E)</v>
      </c>
      <c r="F44" s="292">
        <f>'ANNEXURE II'!H25</f>
        <v>19045</v>
      </c>
      <c r="G44" s="293" t="str">
        <f t="shared" ref="G44:G51" si="2">IF(F44&gt;0,"RECEIPT PRODUCED","")</f>
        <v>RECEIPT PRODUCED</v>
      </c>
    </row>
    <row r="45" spans="2:7" ht="15.6" customHeight="1">
      <c r="B45" s="276"/>
      <c r="C45" s="298" t="s">
        <v>629</v>
      </c>
      <c r="D45" s="299" t="s">
        <v>558</v>
      </c>
      <c r="E45" s="300" t="str">
        <f>'ANNEXURE II'!D26</f>
        <v>Interest of Housing        Loan U/s 24(B)</v>
      </c>
      <c r="F45" s="292">
        <f>'ANNEXURE II'!H26</f>
        <v>0</v>
      </c>
      <c r="G45" s="293" t="str">
        <f t="shared" si="2"/>
        <v/>
      </c>
    </row>
    <row r="46" spans="2:7" ht="15.6" customHeight="1">
      <c r="B46" s="276"/>
      <c r="C46" s="298" t="s">
        <v>630</v>
      </c>
      <c r="D46" s="299" t="s">
        <v>557</v>
      </c>
      <c r="E46" s="300" t="str">
        <f>'ANNEXURE II'!D27</f>
        <v>Deductions For Disabled       U/s 80(U)</v>
      </c>
      <c r="F46" s="292">
        <f>'ANNEXURE II'!H27</f>
        <v>0</v>
      </c>
      <c r="G46" s="293" t="str">
        <f>IF(F46&gt;0,"CERTIFICATE PRODUCED","")</f>
        <v/>
      </c>
    </row>
    <row r="47" spans="2:7" ht="15.6" customHeight="1">
      <c r="B47" s="276"/>
      <c r="C47" s="298" t="s">
        <v>631</v>
      </c>
      <c r="D47" s="299" t="s">
        <v>559</v>
      </c>
      <c r="E47" s="300" t="str">
        <f>'ANNEXURE II'!D28</f>
        <v>Medical Insurance Premiums     80(D)</v>
      </c>
      <c r="F47" s="292">
        <f>'ANNEXURE II'!H28</f>
        <v>0</v>
      </c>
      <c r="G47" s="293" t="str">
        <f t="shared" si="2"/>
        <v/>
      </c>
    </row>
    <row r="48" spans="2:7" ht="15.6" customHeight="1">
      <c r="B48" s="276"/>
      <c r="C48" s="298" t="s">
        <v>632</v>
      </c>
      <c r="D48" s="299" t="s">
        <v>559</v>
      </c>
      <c r="E48" s="300" t="str">
        <f>'ANNEXURE II'!D29</f>
        <v>Donations of Charitable Trust     80(G)</v>
      </c>
      <c r="F48" s="292">
        <f>'ANNEXURE II'!H29</f>
        <v>0</v>
      </c>
      <c r="G48" s="293" t="str">
        <f t="shared" si="2"/>
        <v/>
      </c>
    </row>
    <row r="49" spans="2:7" ht="15.6" customHeight="1">
      <c r="B49" s="276"/>
      <c r="C49" s="298" t="s">
        <v>633</v>
      </c>
      <c r="D49" s="299" t="s">
        <v>559</v>
      </c>
      <c r="E49" s="300" t="str">
        <f>'ANNEXURE II'!D30</f>
        <v>Employee Health Scheme(EHS) 80(D)</v>
      </c>
      <c r="F49" s="292">
        <f>'ANNEXURE II'!H30</f>
        <v>1080</v>
      </c>
      <c r="G49" s="293" t="str">
        <f t="shared" ref="G49:G52" si="3">IF(F49&gt;0,"SALARY DEDUCTION","")</f>
        <v>SALARY DEDUCTION</v>
      </c>
    </row>
    <row r="50" spans="2:7" ht="15.6" customHeight="1">
      <c r="B50" s="276"/>
      <c r="C50" s="306" t="s">
        <v>641</v>
      </c>
      <c r="D50" s="299" t="s">
        <v>642</v>
      </c>
      <c r="E50" s="300" t="str">
        <f>'ANNEXURE II'!D49</f>
        <v>Rajiv Gandhi Equity Savings Scheme</v>
      </c>
      <c r="F50" s="292">
        <f>'ANNEXURE II'!I49</f>
        <v>0</v>
      </c>
      <c r="G50" s="293" t="str">
        <f>IF(F50&gt;0,"RECEIPT PRODUCED","")</f>
        <v/>
      </c>
    </row>
    <row r="51" spans="2:7" ht="15.6" customHeight="1">
      <c r="B51" s="276"/>
      <c r="C51" s="298" t="s">
        <v>643</v>
      </c>
      <c r="D51" s="301" t="s">
        <v>634</v>
      </c>
      <c r="E51" s="300" t="str">
        <f>'ANNEXURE II'!D50</f>
        <v>New Pension Scheme ( BY HAND )</v>
      </c>
      <c r="F51" s="292">
        <f>'ANNEXURE II'!I50</f>
        <v>0</v>
      </c>
      <c r="G51" s="293" t="str">
        <f t="shared" si="2"/>
        <v/>
      </c>
    </row>
    <row r="52" spans="2:7" ht="15.6" customHeight="1">
      <c r="B52" s="276"/>
      <c r="C52" s="306" t="s">
        <v>644</v>
      </c>
      <c r="D52" s="301" t="s">
        <v>634</v>
      </c>
      <c r="E52" s="307" t="str">
        <f>'ANNEXURE II'!C48</f>
        <v>National Pension Scheme          U/s 80CCD (1)(B)</v>
      </c>
      <c r="F52" s="292">
        <f>'ANNEXURE II'!I48</f>
        <v>0</v>
      </c>
      <c r="G52" s="293" t="str">
        <f t="shared" si="3"/>
        <v/>
      </c>
    </row>
    <row r="53" spans="2:7" ht="15.6" customHeight="1">
      <c r="B53" s="280"/>
      <c r="C53" s="302"/>
      <c r="D53" s="303"/>
      <c r="E53" s="304"/>
      <c r="F53" s="285"/>
      <c r="G53" s="286"/>
    </row>
    <row r="54" spans="2:7" ht="20.100000000000001" customHeight="1">
      <c r="B54" s="1364" t="s">
        <v>635</v>
      </c>
      <c r="C54" s="1365"/>
      <c r="D54" s="1365"/>
      <c r="E54" s="1365"/>
      <c r="F54" s="1365"/>
      <c r="G54" s="1366"/>
    </row>
    <row r="55" spans="2:7" ht="50.1" customHeight="1">
      <c r="B55" s="1367" t="str">
        <f>CONCATENATE("   I  ",UPPER(DATA!O25), " , ","S/O ; D/O : ",UPPER(DATA!O26),"  working as ",
UPPER(DATA!O27), " do hereby certify that the information given above is complete and correct.")</f>
        <v xml:space="preserve">   I   , S/O ; D/O :   working as  do hereby certify that the information given above is complete and correct.</v>
      </c>
      <c r="C55" s="1368"/>
      <c r="D55" s="1368"/>
      <c r="E55" s="1368"/>
      <c r="F55" s="1368"/>
      <c r="G55" s="1369"/>
    </row>
    <row r="56" spans="2:7" ht="24.95" customHeight="1">
      <c r="B56" s="1345" t="s">
        <v>636</v>
      </c>
      <c r="C56" s="1346"/>
      <c r="D56" s="1347" t="str">
        <f>UPPER(DATA!O33)</f>
        <v>DORNALA</v>
      </c>
      <c r="E56" s="1347"/>
      <c r="F56" s="1348"/>
      <c r="G56" s="1349"/>
    </row>
    <row r="57" spans="2:7" ht="20.100000000000001" customHeight="1">
      <c r="B57" s="1350" t="s">
        <v>637</v>
      </c>
      <c r="C57" s="1351"/>
      <c r="D57" s="1352">
        <f ca="1">TODAY()</f>
        <v>43612</v>
      </c>
      <c r="E57" s="1352"/>
      <c r="F57" s="1353" t="s">
        <v>638</v>
      </c>
      <c r="G57" s="1354"/>
    </row>
    <row r="58" spans="2:7" ht="20.100000000000001" customHeight="1" thickBot="1">
      <c r="B58" s="1332" t="s">
        <v>639</v>
      </c>
      <c r="C58" s="1333"/>
      <c r="D58" s="1334" t="str">
        <f>UPPER(DATA!O27)</f>
        <v/>
      </c>
      <c r="E58" s="1334"/>
      <c r="F58" s="1335" t="str">
        <f>CONCATENATE("FULL NAME : ",UPPER(DATA!O25))</f>
        <v xml:space="preserve">FULL NAME : </v>
      </c>
      <c r="G58" s="1336"/>
    </row>
    <row r="59" spans="2:7" ht="15.75" thickTop="1">
      <c r="B59" s="1337" t="s">
        <v>268</v>
      </c>
      <c r="C59" s="1337"/>
      <c r="D59" s="1337"/>
      <c r="E59" s="1337"/>
      <c r="F59" s="1337"/>
      <c r="G59" s="1337"/>
    </row>
  </sheetData>
  <sheetProtection password="C6B1" sheet="1" objects="1" scenarios="1" selectLockedCells="1" selectUnlockedCells="1"/>
  <mergeCells count="41">
    <mergeCell ref="C13:E13"/>
    <mergeCell ref="B2:G2"/>
    <mergeCell ref="B3:G3"/>
    <mergeCell ref="B4:G4"/>
    <mergeCell ref="B5:G5"/>
    <mergeCell ref="B6:G6"/>
    <mergeCell ref="B7:G7"/>
    <mergeCell ref="B8:G8"/>
    <mergeCell ref="B9:G9"/>
    <mergeCell ref="C10:E10"/>
    <mergeCell ref="C11:E11"/>
    <mergeCell ref="C12:E12"/>
    <mergeCell ref="C16:E16"/>
    <mergeCell ref="C17:E17"/>
    <mergeCell ref="C18:E18"/>
    <mergeCell ref="C19:E19"/>
    <mergeCell ref="C28:E28"/>
    <mergeCell ref="B54:G54"/>
    <mergeCell ref="B55:G55"/>
    <mergeCell ref="C20:E20"/>
    <mergeCell ref="C21:E21"/>
    <mergeCell ref="C22:E22"/>
    <mergeCell ref="C23:E23"/>
    <mergeCell ref="C24:E24"/>
    <mergeCell ref="C25:E25"/>
    <mergeCell ref="B58:C58"/>
    <mergeCell ref="D58:E58"/>
    <mergeCell ref="F58:G58"/>
    <mergeCell ref="B59:G59"/>
    <mergeCell ref="C14:E14"/>
    <mergeCell ref="F14:G14"/>
    <mergeCell ref="F16:G16"/>
    <mergeCell ref="B56:C56"/>
    <mergeCell ref="D56:E56"/>
    <mergeCell ref="F56:G56"/>
    <mergeCell ref="B57:C57"/>
    <mergeCell ref="D57:E57"/>
    <mergeCell ref="F57:G57"/>
    <mergeCell ref="C26:E26"/>
    <mergeCell ref="C27:E27"/>
    <mergeCell ref="C42:E42"/>
  </mergeCells>
  <printOptions horizontalCentered="1" verticalCentered="1"/>
  <pageMargins left="7.874015748031496E-2" right="7.874015748031496E-2" top="0.15748031496062992" bottom="0.15748031496062992" header="7.874015748031496E-2" footer="7.874015748031496E-2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53FA"/>
  </sheetPr>
  <dimension ref="B1:F30"/>
  <sheetViews>
    <sheetView showGridLines="0" showRowColHeaders="0" showWhiteSpace="0" zoomScaleNormal="100" workbookViewId="0">
      <pane xSplit="1" ySplit="4" topLeftCell="B5" activePane="bottomRight" state="frozen"/>
      <selection activeCell="C3" sqref="C3:Y3"/>
      <selection pane="topRight" activeCell="C3" sqref="C3:Y3"/>
      <selection pane="bottomLeft" activeCell="C3" sqref="C3:Y3"/>
      <selection pane="bottomRight" activeCell="B30" sqref="B30:F30"/>
    </sheetView>
  </sheetViews>
  <sheetFormatPr defaultColWidth="9.140625" defaultRowHeight="15"/>
  <cols>
    <col min="1" max="1" width="1.28515625" style="171" customWidth="1" collapsed="1"/>
    <col min="2" max="2" width="2.7109375" style="171" customWidth="1" collapsed="1"/>
    <col min="3" max="3" width="31.7109375" style="171" customWidth="1" collapsed="1"/>
    <col min="4" max="4" width="14.7109375" style="171" customWidth="1" collapsed="1"/>
    <col min="5" max="5" width="38.7109375" style="171" customWidth="1" collapsed="1"/>
    <col min="6" max="6" width="2.7109375" style="171" customWidth="1" collapsed="1"/>
    <col min="7" max="16384" width="9.140625" style="171" collapsed="1"/>
  </cols>
  <sheetData>
    <row r="1" spans="2:6" ht="5.0999999999999996" customHeight="1" thickBot="1">
      <c r="D1" s="546" t="s">
        <v>809</v>
      </c>
    </row>
    <row r="2" spans="2:6" ht="20.100000000000001" customHeight="1" thickTop="1">
      <c r="B2" s="529"/>
      <c r="C2" s="530"/>
      <c r="D2" s="530"/>
      <c r="E2" s="530"/>
      <c r="F2" s="531"/>
    </row>
    <row r="3" spans="2:6" ht="35.1" customHeight="1">
      <c r="B3" s="1407" t="s">
        <v>795</v>
      </c>
      <c r="C3" s="1408"/>
      <c r="D3" s="1408"/>
      <c r="E3" s="1408"/>
      <c r="F3" s="1409"/>
    </row>
    <row r="4" spans="2:6" ht="20.100000000000001" customHeight="1">
      <c r="B4" s="1410" t="s">
        <v>796</v>
      </c>
      <c r="C4" s="1411"/>
      <c r="D4" s="1411"/>
      <c r="E4" s="1411"/>
      <c r="F4" s="1412"/>
    </row>
    <row r="5" spans="2:6" ht="18" customHeight="1">
      <c r="B5" s="547"/>
      <c r="C5" s="1415" t="str">
        <f>CONCATENATE("               Received a sum of ( 12 Month House Rent Amount ) ","  Rs. ", (12*DATA!G38)," ( ",PRO!H35," )"," from : Sri. /Smt. :  ",UPPER(DATA!O25),  " (Tenant) "," working as ",UPPER(DATA!O27),"  at  ", UPPER(DATA!O31),"  ;  ",UPPER(DATA!O32)," Village  towards the rent @  Rs. ",DATA!G38, " per month  ","during the financial year : 2018-2019  (AY : 2019-20)"," ","
in respect of CASH / CHEQUE / MONEY TRANSFER / UPI PAYMENTS / OTHERS. 
   (Strikeout which is not applicable to you.)")</f>
        <v xml:space="preserve">               Received a sum of ( 12 Month House Rent Amount )   Rs. 99600 ( Ninety Nine Thousand Six Hundred Rupees ) from : Sri. /Smt. :   (Tenant)  working as   at  MEO  ;  DORNALA Village  towards the rent @  Rs. 8300 per month  during the financial year : 2018-2019  (AY : 2019-20) 
in respect of CASH / CHEQUE / MONEY TRANSFER / UPI PAYMENTS / OTHERS. 
   (Strikeout which is not applicable to you.)</v>
      </c>
      <c r="D5" s="1415"/>
      <c r="E5" s="1415"/>
      <c r="F5" s="548"/>
    </row>
    <row r="6" spans="2:6" ht="24.95" customHeight="1">
      <c r="B6" s="547"/>
      <c r="C6" s="1415"/>
      <c r="D6" s="1415"/>
      <c r="E6" s="1415"/>
      <c r="F6" s="548"/>
    </row>
    <row r="7" spans="2:6" ht="24.95" customHeight="1">
      <c r="B7" s="547"/>
      <c r="C7" s="1415"/>
      <c r="D7" s="1415"/>
      <c r="E7" s="1415"/>
      <c r="F7" s="548"/>
    </row>
    <row r="8" spans="2:6" ht="24.95" customHeight="1">
      <c r="B8" s="547"/>
      <c r="C8" s="1415"/>
      <c r="D8" s="1415"/>
      <c r="E8" s="1415"/>
      <c r="F8" s="548"/>
    </row>
    <row r="9" spans="2:6" ht="24.95" customHeight="1">
      <c r="B9" s="547"/>
      <c r="C9" s="1415"/>
      <c r="D9" s="1415"/>
      <c r="E9" s="1415"/>
      <c r="F9" s="548"/>
    </row>
    <row r="10" spans="2:6" ht="24.95" customHeight="1">
      <c r="B10" s="547"/>
      <c r="C10" s="1415"/>
      <c r="D10" s="1415"/>
      <c r="E10" s="1415"/>
      <c r="F10" s="548"/>
    </row>
    <row r="11" spans="2:6" ht="15" customHeight="1">
      <c r="B11" s="532"/>
      <c r="C11" s="1413" t="s">
        <v>797</v>
      </c>
      <c r="D11" s="1413"/>
      <c r="E11" s="1413" t="str">
        <f>IF(DATA!G38&gt;=8333,CONCATENATE("PAN OF OWNER  : ",DATA!O46),"")</f>
        <v/>
      </c>
      <c r="F11" s="1414"/>
    </row>
    <row r="12" spans="2:6" ht="15" customHeight="1">
      <c r="B12" s="532"/>
      <c r="C12" s="1413"/>
      <c r="D12" s="1413"/>
      <c r="E12" s="1413"/>
      <c r="F12" s="1414"/>
    </row>
    <row r="13" spans="2:6" ht="15" customHeight="1">
      <c r="B13" s="532"/>
      <c r="C13" s="1406" t="str">
        <f>"Sri. / Smt. "&amp;UPPER(DATA!O25)</f>
        <v xml:space="preserve">Sri. / Smt. </v>
      </c>
      <c r="D13" s="1406"/>
      <c r="E13" s="549"/>
      <c r="F13" s="533"/>
    </row>
    <row r="14" spans="2:6" ht="15" customHeight="1">
      <c r="B14" s="532"/>
      <c r="C14" s="1406" t="str">
        <f>"C/o. Sri. / Smt.  : "&amp;UPPER(DATA!O42)</f>
        <v>C/o. Sri. / Smt.  : D.PEERAMBEE</v>
      </c>
      <c r="D14" s="1406"/>
      <c r="E14" s="549"/>
      <c r="F14" s="533"/>
    </row>
    <row r="15" spans="2:6" ht="15" customHeight="1">
      <c r="B15" s="532"/>
      <c r="C15" s="1406" t="str">
        <f>DATA!N43&amp;UPPER(DATA!O43)</f>
        <v>DOOR NO.  :   4-69F</v>
      </c>
      <c r="D15" s="1406"/>
      <c r="E15" s="202"/>
      <c r="F15" s="533"/>
    </row>
    <row r="16" spans="2:6" ht="15" customHeight="1">
      <c r="B16" s="532"/>
      <c r="C16" s="1406" t="str">
        <f>UPPER(DATA!O44)</f>
        <v>INDIRA NAGAR</v>
      </c>
      <c r="D16" s="1406"/>
      <c r="F16" s="533"/>
    </row>
    <row r="17" spans="2:6" ht="15" customHeight="1">
      <c r="B17" s="532"/>
      <c r="C17" s="1406" t="str">
        <f>UPPER(DATA!O45)&amp;"_"&amp;"TOWN."</f>
        <v>DORNALA_TOWN.</v>
      </c>
      <c r="D17" s="1406"/>
      <c r="E17" s="770"/>
      <c r="F17" s="533"/>
    </row>
    <row r="18" spans="2:6" ht="15" customHeight="1">
      <c r="B18" s="532"/>
      <c r="C18" s="1406" t="str">
        <f>UPPER(DATA!O34)&amp;"_"&amp;DATA!N34</f>
        <v>PRAKASAM_DISTRICT</v>
      </c>
      <c r="D18" s="1406"/>
      <c r="E18" s="534"/>
      <c r="F18" s="533"/>
    </row>
    <row r="19" spans="2:6" ht="15" customHeight="1">
      <c r="B19" s="532"/>
      <c r="E19" s="535"/>
      <c r="F19" s="533"/>
    </row>
    <row r="20" spans="2:6" ht="15" customHeight="1">
      <c r="B20" s="532"/>
      <c r="C20" s="534"/>
      <c r="D20" s="534"/>
      <c r="E20" s="534"/>
      <c r="F20" s="533"/>
    </row>
    <row r="21" spans="2:6" ht="15" customHeight="1">
      <c r="B21" s="532"/>
      <c r="C21" s="534"/>
      <c r="D21" s="534"/>
      <c r="E21" s="534"/>
      <c r="F21" s="533"/>
    </row>
    <row r="22" spans="2:6" ht="15" customHeight="1">
      <c r="B22" s="532"/>
      <c r="C22" s="1419" t="s">
        <v>798</v>
      </c>
      <c r="D22" s="1419"/>
      <c r="E22" s="1420" t="s">
        <v>810</v>
      </c>
      <c r="F22" s="1421"/>
    </row>
    <row r="23" spans="2:6" ht="15" customHeight="1">
      <c r="B23" s="532"/>
      <c r="C23" s="1417" t="s">
        <v>799</v>
      </c>
      <c r="D23" s="1417"/>
      <c r="E23" s="1417" t="s">
        <v>800</v>
      </c>
      <c r="F23" s="1422"/>
    </row>
    <row r="24" spans="2:6" ht="15" customHeight="1">
      <c r="B24" s="551"/>
      <c r="C24" s="1425" t="str">
        <f>CONCATENATE("( NAME  :  ",UPPER(DATA!O25)," )")</f>
        <v>( NAME  :   )</v>
      </c>
      <c r="D24" s="1425"/>
      <c r="E24" s="1423" t="str">
        <f>CONCATENATE("( NAME  :  ",UPPER(DATA!O42)," )")</f>
        <v>( NAME  :  D.PEERAMBEE )</v>
      </c>
      <c r="F24" s="1424"/>
    </row>
    <row r="25" spans="2:6" ht="15" customHeight="1">
      <c r="B25" s="536"/>
      <c r="C25" s="537"/>
      <c r="D25" s="537"/>
      <c r="E25" s="538"/>
      <c r="F25" s="539"/>
    </row>
    <row r="26" spans="2:6" ht="15" customHeight="1">
      <c r="B26" s="532"/>
      <c r="C26" s="535"/>
      <c r="D26" s="534"/>
      <c r="E26" s="535"/>
      <c r="F26" s="533"/>
    </row>
    <row r="27" spans="2:6" ht="15" customHeight="1">
      <c r="B27" s="532"/>
      <c r="C27" s="1416" t="s">
        <v>801</v>
      </c>
      <c r="D27" s="1417"/>
      <c r="E27" s="1417"/>
      <c r="F27" s="533"/>
    </row>
    <row r="28" spans="2:6" ht="15" customHeight="1">
      <c r="B28" s="532"/>
      <c r="C28" s="1418" t="str">
        <f>IF(AND(DATA!G38&lt;=3000),("YOU NEED NOT SUBMIT RENT RECEIPT FOR THIS RENT"),
  IF(AND(DATA!G38&gt;3000,DATA!G38&lt;=8333),("YOU SHOULD SUBMIT RENT RECEIPT WITHOUT PAN OF HOUSE OWNER"),
  IF(AND(DATA!G38&gt;8333),("YOU SHOULD SUBMIT RENT RECEIPT WITH PAN OF HOUSE OWNER"))))</f>
        <v>YOU SHOULD SUBMIT RENT RECEIPT WITHOUT PAN OF HOUSE OWNER</v>
      </c>
      <c r="D28" s="1418"/>
      <c r="E28" s="1418"/>
      <c r="F28" s="533"/>
    </row>
    <row r="29" spans="2:6" ht="16.5" customHeight="1" thickBot="1">
      <c r="B29" s="540"/>
      <c r="C29" s="541"/>
      <c r="D29" s="541"/>
      <c r="E29" s="541"/>
      <c r="F29" s="542"/>
    </row>
    <row r="30" spans="2:6" ht="15.75" thickTop="1">
      <c r="B30" s="1080" t="s">
        <v>268</v>
      </c>
      <c r="C30" s="1080"/>
      <c r="D30" s="1080"/>
      <c r="E30" s="1080"/>
      <c r="F30" s="1080"/>
    </row>
  </sheetData>
  <sheetProtection password="C6B1" sheet="1" objects="1" scenarios="1" selectLockedCells="1" selectUnlockedCells="1"/>
  <mergeCells count="20">
    <mergeCell ref="C27:E27"/>
    <mergeCell ref="C28:E28"/>
    <mergeCell ref="B30:F30"/>
    <mergeCell ref="C22:D22"/>
    <mergeCell ref="E22:F22"/>
    <mergeCell ref="C23:D23"/>
    <mergeCell ref="E23:F23"/>
    <mergeCell ref="E24:F24"/>
    <mergeCell ref="C24:D24"/>
    <mergeCell ref="C18:D18"/>
    <mergeCell ref="B3:F3"/>
    <mergeCell ref="B4:F4"/>
    <mergeCell ref="C11:D12"/>
    <mergeCell ref="E11:F12"/>
    <mergeCell ref="C5:E10"/>
    <mergeCell ref="C13:D13"/>
    <mergeCell ref="C14:D14"/>
    <mergeCell ref="C15:D15"/>
    <mergeCell ref="C16:D16"/>
    <mergeCell ref="C17:D17"/>
  </mergeCells>
  <printOptions horizontalCentered="1"/>
  <pageMargins left="0.25" right="0.25" top="0.75" bottom="0.75" header="0.3" footer="0.3"/>
  <pageSetup paperSize="9" scale="98" orientation="portrait" r:id="rId1"/>
  <headerFooter>
    <oddFooter>&amp;CScience and Technology ,revolutionize our lives ,but
memory , tradition and myth frame our responce.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34</vt:i4>
      </vt:variant>
    </vt:vector>
  </HeadingPairs>
  <TitlesOfParts>
    <vt:vector size="44" baseType="lpstr">
      <vt:lpstr>PRO</vt:lpstr>
      <vt:lpstr>DATA</vt:lpstr>
      <vt:lpstr>ANNEXURE I</vt:lpstr>
      <vt:lpstr>ANNEXURE II</vt:lpstr>
      <vt:lpstr>FORM16_FRONT</vt:lpstr>
      <vt:lpstr>FORM16_BACK</vt:lpstr>
      <vt:lpstr>FORM_10E</vt:lpstr>
      <vt:lpstr>FORM_12BB</vt:lpstr>
      <vt:lpstr>RENT RECEIPT</vt:lpstr>
      <vt:lpstr>RELIEF</vt:lpstr>
      <vt:lpstr>AAS</vt:lpstr>
      <vt:lpstr>AAS2017BP</vt:lpstr>
      <vt:lpstr>AASM</vt:lpstr>
      <vt:lpstr>AASM2017</vt:lpstr>
      <vt:lpstr>AGI</vt:lpstr>
      <vt:lpstr>AGIM</vt:lpstr>
      <vt:lpstr>AGIM2017</vt:lpstr>
      <vt:lpstr>BASICS</vt:lpstr>
      <vt:lpstr>CMRF</vt:lpstr>
      <vt:lpstr>DA1M</vt:lpstr>
      <vt:lpstr>DA2M</vt:lpstr>
      <vt:lpstr>DATES</vt:lpstr>
      <vt:lpstr>DAYS</vt:lpstr>
      <vt:lpstr>Deduction_Months</vt:lpstr>
      <vt:lpstr>EL_MONTH</vt:lpstr>
      <vt:lpstr>ELs</vt:lpstr>
      <vt:lpstr>GENM2017</vt:lpstr>
      <vt:lpstr>HOW</vt:lpstr>
      <vt:lpstr>HPLM2017</vt:lpstr>
      <vt:lpstr>HPLM2018</vt:lpstr>
      <vt:lpstr>HRA</vt:lpstr>
      <vt:lpstr>INC_AAS_MONTH</vt:lpstr>
      <vt:lpstr>OTHER_SAVINGS_LIST</vt:lpstr>
      <vt:lpstr>PH_SELECTION</vt:lpstr>
      <vt:lpstr>'ANNEXURE I'!Print_Area</vt:lpstr>
      <vt:lpstr>'ANNEXURE II'!Print_Area</vt:lpstr>
      <vt:lpstr>FORM_10E!Print_Area</vt:lpstr>
      <vt:lpstr>FORM_12BB!Print_Area</vt:lpstr>
      <vt:lpstr>FORM16_BACK!Print_Area</vt:lpstr>
      <vt:lpstr>FORM16_FRONT!Print_Area</vt:lpstr>
      <vt:lpstr>PRO</vt:lpstr>
      <vt:lpstr>PROM</vt:lpstr>
      <vt:lpstr>PROTYPE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INCOMETAX F.Y.:2018-19</dc:title>
  <dc:creator>ramanjaneyuluperumal@gmail.com</dc:creator>
  <cp:keywords>FOR AP EMPLOYEES</cp:keywords>
  <cp:lastModifiedBy>venugopal</cp:lastModifiedBy>
  <cp:lastPrinted>2019-02-09T16:41:27Z</cp:lastPrinted>
  <dcterms:created xsi:type="dcterms:W3CDTF">2017-03-10T12:40:24Z</dcterms:created>
  <dcterms:modified xsi:type="dcterms:W3CDTF">2019-05-27T11:19:29Z</dcterms:modified>
  <cp:category>FINANCIAL</cp:category>
</cp:coreProperties>
</file>